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_rels/sheet1.xml.rels" ContentType="application/vnd.openxmlformats-package.relationships+xml"/>
  <Override PartName="/xl/worksheets/_rels/sheet12.xml.rels" ContentType="application/vnd.openxmlformats-package.relationships+xml"/>
  <Override PartName="/xl/worksheets/_rels/sheet1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_rels/.rels" ContentType="application/vnd.openxmlformats-package.relationships+xml"/>
  <Override PartName="/xl/media/image4.png" ContentType="image/png"/>
  <Override PartName="/xl/media/image3.png" ContentType="image/png"/>
  <Override PartName="/xl/media/image2.png" ContentType="image/png"/>
  <Override PartName="/xl/styles.xml" ContentType="application/vnd.openxmlformats-officedocument.spreadsheetml.styl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_rels/workbook.xml.rels" ContentType="application/vnd.openxmlformats-package.relationships+xml"/>
  <Override PartName="/customXml/itemProps6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alor da Contratação" sheetId="1" state="visible" r:id="rId3"/>
    <sheet name="Resumo" sheetId="2" state="visible" r:id="rId4"/>
    <sheet name="Equipe Técnica" sheetId="3" state="visible" r:id="rId5"/>
    <sheet name="Base Chapecó" sheetId="4" state="visible" r:id="rId6"/>
    <sheet name="Desl. Base Chapecó" sheetId="5" state="visible" r:id="rId7"/>
    <sheet name="Base Pato Branco" sheetId="6" state="visible" r:id="rId8"/>
    <sheet name="Desl. Base Pato Branco" sheetId="7" state="visible" r:id="rId9"/>
    <sheet name="Comp. Veículo SC" sheetId="8" state="visible" r:id="rId10"/>
    <sheet name="Comp. Veículo PR" sheetId="9" state="visible" r:id="rId11"/>
    <sheet name="Custo Eng. Eletricista" sheetId="10" state="visible" r:id="rId12"/>
    <sheet name="Comp. Eng. Eletricista" sheetId="11" state="visible" r:id="rId13"/>
    <sheet name="Custo Oficial de Manutenção SC" sheetId="12" state="visible" r:id="rId14"/>
    <sheet name="Custo Oficial de Manutenção PR" sheetId="13" state="visible" r:id="rId15"/>
    <sheet name="Comp. Oficial de Manutenção SC" sheetId="14" state="visible" r:id="rId16"/>
    <sheet name="Comp. Oficial de Manutenção PR" sheetId="15" state="visible" r:id="rId17"/>
    <sheet name="Unidades" sheetId="16" state="visible" r:id="rId18"/>
    <sheet name="BDI" sheetId="17" state="visible" r:id="rId19"/>
    <sheet name="Divisão Custos ISSQN" sheetId="18" state="visible" r:id="rId20"/>
  </sheets>
  <definedNames>
    <definedName function="false" hidden="false" localSheetId="3" name="_xlnm.Print_Area" vbProcedure="false">'Base Chapecó'!$B$2:$AW$25</definedName>
    <definedName function="false" hidden="false" localSheetId="5" name="_xlnm.Print_Area" vbProcedure="false">'Base Pato Branco'!$B$2:$AW$24</definedName>
    <definedName function="false" hidden="false" localSheetId="16" name="_xlnm.Print_Area" vbProcedure="false">BDI!$B$1:$J$44</definedName>
    <definedName function="false" hidden="false" localSheetId="4" name="_xlnm.Print_Area" vbProcedure="false">'Desl. Base Chapecó'!$B$2:$M$34</definedName>
    <definedName function="false" hidden="false" localSheetId="6" name="_xlnm.Print_Area" vbProcedure="false">'Desl. Base Pato Branco'!$B$2:$M$58</definedName>
    <definedName function="false" hidden="false" localSheetId="2" name="_xlnm.Print_Area" vbProcedure="false">'Equipe Técnica'!$B$2:$E$13</definedName>
    <definedName function="false" hidden="false" localSheetId="15" name="_xlnm.Print_Area" vbProcedure="false">Unidades!$B$2:$H$17</definedName>
    <definedName function="false" hidden="false" name="Excel_BuiltIn__FilterDatabase_9_1" vbProcedure="false">#REF!</definedName>
    <definedName function="false" hidden="false" name="_FilterDatabase_3" vbProcedure="false">#REF!</definedName>
    <definedName function="false" hidden="false" name="___xlnm__FilterDatabase_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<sst xmlns="http://schemas.openxmlformats.org/spreadsheetml/2006/main" count="967" uniqueCount="328">
  <si>
    <t xml:space="preserve">ANEXO I – B6</t>
  </si>
  <si>
    <t xml:space="preserve">PLANILHA DETALHADA DE FORMAÇÃO DE PREÇO</t>
  </si>
  <si>
    <t xml:space="preserve">POLO VI</t>
  </si>
  <si>
    <t xml:space="preserve">NÃO DESONERADA</t>
  </si>
  <si>
    <t xml:space="preserve">ITEM</t>
  </si>
  <si>
    <t xml:space="preserve">DESCRIÇÃO DO SERVIÇO</t>
  </si>
  <si>
    <t xml:space="preserve">UN.</t>
  </si>
  <si>
    <t xml:space="preserve">QTE.</t>
  </si>
  <si>
    <t xml:space="preserve">PREÇO UNITÁRIO (R$)</t>
  </si>
  <si>
    <t xml:space="preserve">PREÇO TOTAL (R$) (24 MESES)</t>
  </si>
  <si>
    <t xml:space="preserve">Serviço de manutenção predial preventiva e corretiva por demanda, com fornecimento de materiais, peças e componentes, nos imóveis relacionados no Polo Regional VI.</t>
  </si>
  <si>
    <t xml:space="preserve">Mês</t>
  </si>
  <si>
    <t xml:space="preserve">VALOR TOTAL DO ITEM 2: R$ 3.443.206,80 (Três milhões quatrocentos e quarenta e três mil duzentos e seis reais e oitenta centavos).</t>
  </si>
  <si>
    <t xml:space="preserve">BASE</t>
  </si>
  <si>
    <t xml:space="preserve">ÁREA TOTAL (m²)</t>
  </si>
  <si>
    <t xml:space="preserve">CUSTO MÉDIO MENSAL (PREVENTIVA)</t>
  </si>
  <si>
    <t xml:space="preserve">CUSTO ANUAL (PREVENTIVA)</t>
  </si>
  <si>
    <t xml:space="preserve">CUSTO MÉDIO MENSAL (CORRETIVA)</t>
  </si>
  <si>
    <t xml:space="preserve">CUSTO ANUAL (CORRETIVA)</t>
  </si>
  <si>
    <t xml:space="preserve">CUSTO MÉDIO MENSAL MANUTENÇÃO</t>
  </si>
  <si>
    <t xml:space="preserve">CUSTO ANUAL MANUTENÇÃO</t>
  </si>
  <si>
    <t xml:space="preserve">CHAPECÓ</t>
  </si>
  <si>
    <t xml:space="preserve">PATO BRANCO</t>
  </si>
  <si>
    <t xml:space="preserve">Custo Médio Mensal</t>
  </si>
  <si>
    <t xml:space="preserve">Custo Anual</t>
  </si>
  <si>
    <t xml:space="preserve">Percentual por unidade</t>
  </si>
  <si>
    <t xml:space="preserve">Preventiva</t>
  </si>
  <si>
    <t xml:space="preserve">Corretiva</t>
  </si>
  <si>
    <t xml:space="preserve">Total</t>
  </si>
  <si>
    <t xml:space="preserve">%</t>
  </si>
  <si>
    <t xml:space="preserve">Valores SINAPI*</t>
  </si>
  <si>
    <t xml:space="preserve">Engenheiro Civil (ref. SINAPI/90778)</t>
  </si>
  <si>
    <t xml:space="preserve">Engenheiro eletricista 
(comp. própria)</t>
  </si>
  <si>
    <t xml:space="preserve">Auxiliar Técnico (ref. SINAPI/88255)</t>
  </si>
  <si>
    <t xml:space="preserve">Quantidade de horas/mês</t>
  </si>
  <si>
    <t xml:space="preserve">Custo mensal</t>
  </si>
  <si>
    <t xml:space="preserve">Custo anual</t>
  </si>
  <si>
    <t xml:space="preserve">* Tabela SINAPI Janeiro/2025 (Não Desonerado)</t>
  </si>
  <si>
    <t xml:space="preserve">CUSTO POR PERÍODO (Sem BDI)</t>
  </si>
  <si>
    <t xml:space="preserve">Custo mensal da equipe</t>
  </si>
  <si>
    <t xml:space="preserve">Custo anual da equipe</t>
  </si>
  <si>
    <t xml:space="preserve">UNIDADE</t>
  </si>
  <si>
    <t xml:space="preserve">Área (m²)</t>
  </si>
  <si>
    <t xml:space="preserve">Horas</t>
  </si>
  <si>
    <t xml:space="preserve">GEX / APS</t>
  </si>
  <si>
    <t xml:space="preserve">Custo da equipe em execução por rotina</t>
  </si>
  <si>
    <t xml:space="preserve">Custos mensais</t>
  </si>
  <si>
    <t xml:space="preserve">Custo Equipe técnica</t>
  </si>
  <si>
    <t xml:space="preserve">Custo total por rotina (SEM BDI)</t>
  </si>
  <si>
    <t xml:space="preserve">Custo total por rotina (COM BDI)</t>
  </si>
  <si>
    <t xml:space="preserve">Custo Mensal de Manutenção por unidade</t>
  </si>
  <si>
    <t xml:space="preserve">Uso constante</t>
  </si>
  <si>
    <t xml:space="preserve">Uso esporádico</t>
  </si>
  <si>
    <t xml:space="preserve">Ociosa</t>
  </si>
  <si>
    <t xml:space="preserve">Área corrigida</t>
  </si>
  <si>
    <t xml:space="preserve">horas p visita mensal (h)</t>
  </si>
  <si>
    <t xml:space="preserve">horas p visita trimestral (h)</t>
  </si>
  <si>
    <t xml:space="preserve">Possui hidrante?</t>
  </si>
  <si>
    <t xml:space="preserve">Possui subestação?</t>
  </si>
  <si>
    <t xml:space="preserve">horas p visita semestral(h)</t>
  </si>
  <si>
    <t xml:space="preserve">horas p visita anual(h)</t>
  </si>
  <si>
    <t xml:space="preserve">Total horas p/ ano</t>
  </si>
  <si>
    <t xml:space="preserve">Mensal</t>
  </si>
  <si>
    <t xml:space="preserve">Trimestral</t>
  </si>
  <si>
    <t xml:space="preserve">Semestral</t>
  </si>
  <si>
    <t xml:space="preserve">Anual</t>
  </si>
  <si>
    <t xml:space="preserve">Equipe em desl.</t>
  </si>
  <si>
    <t xml:space="preserve">Pernoite</t>
  </si>
  <si>
    <t xml:space="preserve">Pedágio</t>
  </si>
  <si>
    <t xml:space="preserve">Veículo</t>
  </si>
  <si>
    <t xml:space="preserve">Total de horas de execução do Polo:</t>
  </si>
  <si>
    <t xml:space="preserve">BDI</t>
  </si>
  <si>
    <t xml:space="preserve">Custo Médio Mensal Preventiva</t>
  </si>
  <si>
    <t xml:space="preserve">Custo Médio Mensal Corretiva</t>
  </si>
  <si>
    <t xml:space="preserve">Custo Médio Mensal Manutenção</t>
  </si>
  <si>
    <t xml:space="preserve">Custos / Rotinas</t>
  </si>
  <si>
    <t xml:space="preserve">coeficiente</t>
  </si>
  <si>
    <t xml:space="preserve">12 rotinas</t>
  </si>
  <si>
    <t xml:space="preserve">4 rotinas</t>
  </si>
  <si>
    <t xml:space="preserve">2 rotinas</t>
  </si>
  <si>
    <t xml:space="preserve">1 rotina</t>
  </si>
  <si>
    <t xml:space="preserve">APS CAÇADOR</t>
  </si>
  <si>
    <t xml:space="preserve">Custo por tipo de rotina</t>
  </si>
  <si>
    <t xml:space="preserve">APS CAMPOS NOVOS</t>
  </si>
  <si>
    <t xml:space="preserve">Custo Anual por tipo de rotina</t>
  </si>
  <si>
    <t xml:space="preserve">APS CAPINZAL</t>
  </si>
  <si>
    <t xml:space="preserve">APS CHAPECÓ</t>
  </si>
  <si>
    <t xml:space="preserve">APS CONCÓRDIA</t>
  </si>
  <si>
    <t xml:space="preserve">Custo Anual Preventiva</t>
  </si>
  <si>
    <t xml:space="preserve">APS FRAIBURGO</t>
  </si>
  <si>
    <t xml:space="preserve">APS JOAÇABA</t>
  </si>
  <si>
    <t xml:space="preserve">Custo Anual Corretiva</t>
  </si>
  <si>
    <t xml:space="preserve">APS MARAVILHA</t>
  </si>
  <si>
    <t xml:space="preserve">APS PINHALZINHO</t>
  </si>
  <si>
    <t xml:space="preserve">Custo Anual Manutenção</t>
  </si>
  <si>
    <t xml:space="preserve">APS SÃO MIGUEL D OESTE</t>
  </si>
  <si>
    <t xml:space="preserve">APS VIDEIRA</t>
  </si>
  <si>
    <t xml:space="preserve">APS XANXERÊ</t>
  </si>
  <si>
    <t xml:space="preserve">APS XAXIM</t>
  </si>
  <si>
    <t xml:space="preserve">GEX CHAPECÓ</t>
  </si>
  <si>
    <t xml:space="preserve">TOTAL</t>
  </si>
  <si>
    <t xml:space="preserve">Oficial de Manutenção Predial</t>
  </si>
  <si>
    <t xml:space="preserve">Ajudante (ref. SINAPI/88241)</t>
  </si>
  <si>
    <t xml:space="preserve">Eletrotécnico (ref. SINAPI/88266)</t>
  </si>
  <si>
    <t xml:space="preserve">Rotas</t>
  </si>
  <si>
    <t xml:space="preserve">Trecho 1 (Km)</t>
  </si>
  <si>
    <t xml:space="preserve">Trecho 2 (Km)</t>
  </si>
  <si>
    <t xml:space="preserve">Trecho 3 (Km)</t>
  </si>
  <si>
    <t xml:space="preserve">Total (Km)</t>
  </si>
  <si>
    <t xml:space="preserve">Trecho 1 (min)</t>
  </si>
  <si>
    <t xml:space="preserve">Trecho 2 (min)</t>
  </si>
  <si>
    <t xml:space="preserve">Trecho 3 (min)</t>
  </si>
  <si>
    <t xml:space="preserve">Total (min)</t>
  </si>
  <si>
    <t xml:space="preserve">Total (horas)</t>
  </si>
  <si>
    <t xml:space="preserve">Pedágio (ida e volta) *</t>
  </si>
  <si>
    <t xml:space="preserve">Unidades na rota</t>
  </si>
  <si>
    <t xml:space="preserve">Média horas p/ unidade</t>
  </si>
  <si>
    <t xml:space="preserve">Média pedágio p/ unidade</t>
  </si>
  <si>
    <t xml:space="preserve">Subestação?</t>
  </si>
  <si>
    <t xml:space="preserve">Inclui eletrotécnico no deslocamento?</t>
  </si>
  <si>
    <t xml:space="preserve">Custo do Veículo</t>
  </si>
  <si>
    <t xml:space="preserve">Composição*</t>
  </si>
  <si>
    <t xml:space="preserve">Descrição</t>
  </si>
  <si>
    <t xml:space="preserve">Unidade</t>
  </si>
  <si>
    <t xml:space="preserve">Valor</t>
  </si>
  <si>
    <t xml:space="preserve">92145/SINAPI</t>
  </si>
  <si>
    <t xml:space="preserve">CAMINHONETE CABINE SIMPLES</t>
  </si>
  <si>
    <t xml:space="preserve">CHP</t>
  </si>
  <si>
    <t xml:space="preserve">92146/SINAPI</t>
  </si>
  <si>
    <t xml:space="preserve">CHI</t>
  </si>
  <si>
    <t xml:space="preserve">* Nas composições utilizadas foram retirados os custos com motorista, pelo fato da própria equipe conduzir o veículo. A composição detalhada encontra-se em planilha apartada.</t>
  </si>
  <si>
    <t xml:space="preserve">Custo Mensal do Veículo</t>
  </si>
  <si>
    <t xml:space="preserve">Pedágios</t>
  </si>
  <si>
    <t xml:space="preserve">Insumo*</t>
  </si>
  <si>
    <t xml:space="preserve">2454/AGETOP</t>
  </si>
  <si>
    <t xml:space="preserve">PERNOITE EM QUARTO SOLTEIRO C/ AR CONDICIONADO OU VENTILADOR</t>
  </si>
  <si>
    <t xml:space="preserve">UN</t>
  </si>
  <si>
    <t xml:space="preserve">* Tabela AGETOP CIVIL Agosto/2024.</t>
  </si>
  <si>
    <t xml:space="preserve">APS CORONEL VIVIDA</t>
  </si>
  <si>
    <t xml:space="preserve">APS DOIS VIZINHOS</t>
  </si>
  <si>
    <t xml:space="preserve">APS FRANCISCO BELTRÃO</t>
  </si>
  <si>
    <t xml:space="preserve">APS MANGUEIRINHA</t>
  </si>
  <si>
    <t xml:space="preserve">APS PALMAS</t>
  </si>
  <si>
    <t xml:space="preserve">APS PATO BRANCO</t>
  </si>
  <si>
    <t xml:space="preserve">APS REALEZA</t>
  </si>
  <si>
    <t xml:space="preserve">APS STO. ANTÔNIO DO SUDOESTE</t>
  </si>
  <si>
    <t xml:space="preserve">APS DIONÍSIO CERQUEIRA</t>
  </si>
  <si>
    <t xml:space="preserve">APS SÃO L. DO OESTE</t>
  </si>
  <si>
    <t xml:space="preserve">* Tabela SINAPI/PR Janeiro/2025 (Não Desonerado)</t>
  </si>
  <si>
    <t xml:space="preserve">Pedágio (ida e volta)</t>
  </si>
  <si>
    <t xml:space="preserve">COMPOSIÇÃO CUSTO DO VEÍCULO - SANTA CATARINA</t>
  </si>
  <si>
    <t xml:space="preserve">Composição ALTERADA SINAPI – 92145 (SEM MOTORISTA)</t>
  </si>
  <si>
    <t xml:space="preserve">Código</t>
  </si>
  <si>
    <t xml:space="preserve">92145</t>
  </si>
  <si>
    <t xml:space="preserve">CAMINHONETE CABINE SIMPLES COM MOTOR 1.6 FLEX, CÂMBIO MANUAL, POTÊNCIA 101/104 CV, 2 PORTAS - CHP DIURNO. AF_11/2015</t>
  </si>
  <si>
    <t xml:space="preserve">Data</t>
  </si>
  <si>
    <t xml:space="preserve">01/2025</t>
  </si>
  <si>
    <t xml:space="preserve">Estado</t>
  </si>
  <si>
    <t xml:space="preserve">Santa Catarina</t>
  </si>
  <si>
    <t xml:space="preserve">Tipo</t>
  </si>
  <si>
    <t xml:space="preserve">CHOR - CUSTOS HORÁRIOS DE MÁQUINAS E EQUIPAMENTOS</t>
  </si>
  <si>
    <t xml:space="preserve">Valor Não Desonerado</t>
  </si>
  <si>
    <t xml:space="preserve">codigo</t>
  </si>
  <si>
    <t xml:space="preserve">Valor Unitário Não Desonerado</t>
  </si>
  <si>
    <t xml:space="preserve">Coeficiente</t>
  </si>
  <si>
    <t xml:space="preserve">C</t>
  </si>
  <si>
    <t xml:space="preserve">92140</t>
  </si>
  <si>
    <t xml:space="preserve">CAMINHONETE CABINE SIMPLES COM MOTOR 1.6 FLEX, CÂMBIO MANUAL, POTÊNCIA 101/104 CV, 2 PORTAS - DEPRECIAÇÃO. AF_11/2015</t>
  </si>
  <si>
    <t xml:space="preserve">H</t>
  </si>
  <si>
    <t xml:space="preserve">92141</t>
  </si>
  <si>
    <t xml:space="preserve">CAMINHONETE CABINE SIMPLES COM MOTOR 1.6 FLEX, CÂMBIO MANUAL, POTÊNCIA 101/104 CV, 2 PORTAS - JUROS. AF_11/2015</t>
  </si>
  <si>
    <t xml:space="preserve">92142</t>
  </si>
  <si>
    <t xml:space="preserve">CAMINHONETE CABINE SIMPLES COM MOTOR 1.6 FLEX, CÂMBIO MANUAL, POTÊNCIA 101/104 CV, 2 PORTAS - IMPOSTOS E SEGUROS. AF_11/2015</t>
  </si>
  <si>
    <t xml:space="preserve">92143</t>
  </si>
  <si>
    <t xml:space="preserve">CAMINHONETE CABINE SIMPLES COM MOTOR 1.6 FLEX, CÂMBIO MANUAL, POTÊNCIA 101/104 CV, 2 PORTAS - MANUTENÇÃO. AF_11/2015</t>
  </si>
  <si>
    <t xml:space="preserve">92144</t>
  </si>
  <si>
    <t xml:space="preserve">CAMINHONETE CABINE SIMPLES COM MOTOR 1.6 FLEX, CÂMBIO MANUAL, POTÊNCIA 101/104 CV, 2 PORTAS - MATERIAIS NA OPERAÇÃO. AF_11/2015</t>
  </si>
  <si>
    <t xml:space="preserve">Composição ALTERADA SINAPI – 92146 (SEM MOTORISTA)</t>
  </si>
  <si>
    <t xml:space="preserve">92146</t>
  </si>
  <si>
    <t xml:space="preserve">CAMINHONETE CABINE SIMPLES COM MOTOR 1.6 FLEX, CÂMBIO MANUAL, POTÊNCIA 101/104 CV, 2 PORTAS - CHI DIURNO. AF_11/2015</t>
  </si>
  <si>
    <t xml:space="preserve">COMPOSIÇÃO CUSTO DO VEÍCULO - PARANÁ</t>
  </si>
  <si>
    <t xml:space="preserve">Paraná</t>
  </si>
  <si>
    <t xml:space="preserve">SANTA CATARINA</t>
  </si>
  <si>
    <t xml:space="preserve">Profissional</t>
  </si>
  <si>
    <t xml:space="preserve">ENGENHEIRO ELETRICISTA</t>
  </si>
  <si>
    <t xml:space="preserve">Referência</t>
  </si>
  <si>
    <t xml:space="preserve">99275 / insumo SBC</t>
  </si>
  <si>
    <t xml:space="preserve">Data base</t>
  </si>
  <si>
    <t xml:space="preserve">Custo do insumo (h)</t>
  </si>
  <si>
    <t xml:space="preserve">Encargos Sociais (*) - (ES)</t>
  </si>
  <si>
    <t xml:space="preserve">Apêndice 24: Encargos Sociais – Santa Catarina</t>
  </si>
  <si>
    <t xml:space="preserve">Horista Desonerado</t>
  </si>
  <si>
    <t xml:space="preserve">Horista Não Desonerado</t>
  </si>
  <si>
    <t xml:space="preserve">Cálculo custo do funcionário</t>
  </si>
  <si>
    <r>
      <rPr>
        <sz val="10"/>
        <rFont val="Arial"/>
        <family val="2"/>
        <charset val="1"/>
      </rPr>
      <t xml:space="preserve">Horista Desonerado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</si>
  <si>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0"/>
        <rFont val="Arial"/>
        <family val="2"/>
        <charset val="1"/>
      </rPr>
      <t xml:space="preserve">Horista Não Desonerado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</si>
  <si>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(**) Fonte: Livro SINAPI: Cálculos e Parâmetros: Sistema Nacional de Pesquisa de Custos e Índices da Construção Civil / Caixa Econômica Federal. – 7ª Ed. – Brasília: CAIXA, 2025.</t>
  </si>
  <si>
    <t xml:space="preserve">COMPOSIÇÃO CUSTO ENGENHEIRO ELETRICISTA</t>
  </si>
  <si>
    <t xml:space="preserve">Composição ALTERADA SINAPI – 91677</t>
  </si>
  <si>
    <t xml:space="preserve">ENGENHEIRO ELETRICISTA COM ENCARGOS COMPLEMENTARES</t>
  </si>
  <si>
    <t xml:space="preserve">SEDI - SERVIÇOS DIVERSOS</t>
  </si>
  <si>
    <t xml:space="preserve">I</t>
  </si>
  <si>
    <t xml:space="preserve">23685/SBC</t>
  </si>
  <si>
    <t xml:space="preserve">CURSO DE CAPACITACAO PARA ENGENHEIRO CIVIL DE OBRA PLENO</t>
  </si>
  <si>
    <t xml:space="preserve">-</t>
  </si>
  <si>
    <t xml:space="preserve">99275/SBC</t>
  </si>
  <si>
    <t xml:space="preserve">Mão de Obra</t>
  </si>
  <si>
    <t xml:space="preserve"> 00037372 </t>
  </si>
  <si>
    <t xml:space="preserve">EXAMES - HORISTA (COLETADO CAIXA - ENCARGOS COMPLEMENTARES)</t>
  </si>
  <si>
    <t xml:space="preserve">Outros</t>
  </si>
  <si>
    <t xml:space="preserve"> 00037373 </t>
  </si>
  <si>
    <t xml:space="preserve">SEGURO - HORISTA (COLETADO CAIXA - ENCARGOS COMPLEMENTARES)</t>
  </si>
  <si>
    <t xml:space="preserve">Taxas</t>
  </si>
  <si>
    <t xml:space="preserve"> 00043462 </t>
  </si>
  <si>
    <t xml:space="preserve">FERRAMENTAS - FAMILIA ENGENHEIRO CIVIL - HORISTA (ENCARGOS COMPLEMENTARES - COLETADO CAIXA)</t>
  </si>
  <si>
    <t xml:space="preserve">Equipamento</t>
  </si>
  <si>
    <t xml:space="preserve"> 00043486 </t>
  </si>
  <si>
    <t xml:space="preserve">EPI - FAMILIA ENGENHEIRO CIVIL - HORISTA (ENCARGOS COMPLEMENTARES - COLETADO CAIXA)</t>
  </si>
  <si>
    <t xml:space="preserve">Categoria</t>
  </si>
  <si>
    <t xml:space="preserve">Profissional (*)</t>
  </si>
  <si>
    <t xml:space="preserve">Convenção coletiva</t>
  </si>
  <si>
    <r>
      <rPr>
        <sz val="11"/>
        <color rgb="FF000000"/>
        <rFont val="Arial"/>
        <family val="2"/>
        <charset val="1"/>
      </rPr>
      <t xml:space="preserve">CCT </t>
    </r>
    <r>
      <rPr>
        <sz val="10"/>
        <color rgb="FF000000"/>
        <rFont val="Arial;Arial"/>
        <family val="2"/>
        <charset val="1"/>
      </rPr>
      <t xml:space="preserve">SC001367/2024</t>
    </r>
  </si>
  <si>
    <t xml:space="preserve">Abrangência</t>
  </si>
  <si>
    <t xml:space="preserve">Trabalhadores das indústrias da construção civil de Florianópolis/SC e região</t>
  </si>
  <si>
    <t xml:space="preserve">Salário base (SB)</t>
  </si>
  <si>
    <t xml:space="preserve">Encargos Sociais (**) - (ES)
Apêndice 24: Encargos Sociais – Santa Catarina</t>
  </si>
  <si>
    <t xml:space="preserve">Mensalista Não Desonerado</t>
  </si>
  <si>
    <t xml:space="preserve">Cálculo custo do funcionário (***)</t>
  </si>
  <si>
    <r>
      <rPr>
        <sz val="11"/>
        <color rgb="FF000000"/>
        <rFont val="Arial"/>
        <family val="2"/>
        <charset val="1"/>
      </rPr>
      <t xml:space="preserve">Mensalista Desonerado (M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</si>
  <si>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Mensalista Não desonerado (M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=SB*(1+ES</t>
    </r>
    <r>
      <rPr>
        <vertAlign val="subscript"/>
        <sz val="10"/>
        <rFont val="Arial"/>
        <family val="2"/>
        <charset val="1"/>
      </rPr>
      <t xml:space="preserve">não_desonerado</t>
    </r>
    <r>
      <rPr>
        <sz val="11"/>
        <color rgb="FF000000"/>
        <rFont val="Arial"/>
        <family val="2"/>
        <charset val="1"/>
      </rPr>
      <t xml:space="preserve">))</t>
    </r>
  </si>
  <si>
    <r>
      <rPr>
        <sz val="11"/>
        <color rgb="FF000000"/>
        <rFont val="Arial"/>
        <family val="2"/>
        <charset val="1"/>
      </rPr>
      <t xml:space="preserve">Horista Desonerado (****) - H</t>
    </r>
    <r>
      <rPr>
        <vertAlign val="subscript"/>
        <sz val="10"/>
        <rFont val="Arial"/>
        <family val="2"/>
        <charset val="1"/>
      </rPr>
      <t xml:space="preserve">desonerado</t>
    </r>
  </si>
  <si>
    <r>
      <rPr>
        <sz val="11"/>
        <color rgb="FF000000"/>
        <rFont val="Arial"/>
        <family val="2"/>
        <charset val="1"/>
      </rPr>
      <t xml:space="preserve">Horista Não Desonerado (****) - H</t>
    </r>
    <r>
      <rPr>
        <vertAlign val="subscript"/>
        <sz val="10"/>
        <rFont val="Arial"/>
        <family val="2"/>
        <charset val="1"/>
      </rPr>
      <t xml:space="preserve">não_desonerado</t>
    </r>
  </si>
  <si>
    <t xml:space="preserve">(*) Descrição da categoria na CCT</t>
  </si>
  <si>
    <t xml:space="preserve">(***) Fonte: SINAPI: Metodologias e Conceitos: Sistema Nacional de Pesquisa de Custos e Índices da Construção Civil / Caixa Econômica Federal. – 10ª Ed. – Brasília: CAIXA, 2024</t>
  </si>
  <si>
    <t xml:space="preserve">(****) Fórmula para cálculo do custo do horista, com base no custo do mensalista (Livro Metodologias e Conceitos, página 78)</t>
  </si>
  <si>
    <t xml:space="preserve">PARANÁ</t>
  </si>
  <si>
    <r>
      <rPr>
        <sz val="10"/>
        <rFont val="Arial"/>
        <family val="2"/>
        <charset val="1"/>
      </rPr>
      <t xml:space="preserve"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 PR001850/2024</t>
    </r>
  </si>
  <si>
    <t xml:space="preserve">Trabalhadores das indústrias da construção civil de Curitiba/PR e região</t>
  </si>
  <si>
    <t xml:space="preserve">Encargos Sociais (**) - (ES)
Apêndice 16: Encargos Sociais – Paraná</t>
  </si>
  <si>
    <t xml:space="preserve">(****) Fórmula para cálculo do custo do horista, com base no custo do mensalista (Livro Metodologias e Conceitos, página 82)</t>
  </si>
  <si>
    <t xml:space="preserve">COMPOSIÇÃO CUSTO OFICIAL DE MANUTENÇÃO PREDIAL (CBO 5143-25)</t>
  </si>
  <si>
    <t xml:space="preserve">Composição ALTERADA SINAPI – 88264</t>
  </si>
  <si>
    <t xml:space="preserve">OFICIAL DE MANUTENÇÃO PREDIAL COM ENCARGOS COMPLEMENTARES (CBO 5143-25)</t>
  </si>
  <si>
    <t xml:space="preserve">CURSO DE CAPACITAÇÃO PARA ELETRICISTA (ENCARGOS COMPLEMENTARES) - HORISTA</t>
  </si>
  <si>
    <t xml:space="preserve">Pesquisa de mercado</t>
  </si>
  <si>
    <r>
      <rPr>
        <sz val="10"/>
        <color rgb="FF000000"/>
        <rFont val="Arial"/>
        <family val="1"/>
        <charset val="1"/>
      </rPr>
      <t xml:space="preserve">OFICIAL DE MANUTENÇÃO PREDIAL (OFICIAL/PROFISSIONAL CCT </t>
    </r>
    <r>
      <rPr>
        <sz val="10"/>
        <color rgb="FF000000"/>
        <rFont val="Arial;Arial"/>
        <family val="2"/>
        <charset val="1"/>
      </rPr>
      <t xml:space="preserve">SC 2024/2025)</t>
    </r>
  </si>
  <si>
    <t xml:space="preserve">ALIMENTACAO - HORISTA (COLETADO CAIXA - ENCARGOS COMPLEMENTARES)</t>
  </si>
  <si>
    <t xml:space="preserve">TRANSPORTE - HORISTA (COLETADO CAIXA - ENCARGOS COMPLEMENTARES)</t>
  </si>
  <si>
    <t xml:space="preserve">Serviços</t>
  </si>
  <si>
    <t xml:space="preserve">FERRAMENTAS - FAMILIA ELETRICISTA - HORISTA (ENCARGOS COMPLEMENTARES - COLETADO CAIXA)</t>
  </si>
  <si>
    <t xml:space="preserve">FERRAMENTAS - FAMILIA ENCANADOR - HORISTA (ENCARGOS COMPLEMENTARES - COLETADO CAIXA)</t>
  </si>
  <si>
    <t xml:space="preserve">EPI – FAMILIA ELETRICISTA - HORISTA (ENCARGOS COMPLEMENTARES - COLETADO CAIXA)</t>
  </si>
  <si>
    <t xml:space="preserve">OFICIAL DE MANUTENÇÃO PREDIAL (OFICIAL/PROFISSIONAL CCT  PR001850/2024)</t>
  </si>
  <si>
    <t xml:space="preserve">GERÊNCIA</t>
  </si>
  <si>
    <t xml:space="preserve">ENDEREÇO</t>
  </si>
  <si>
    <t xml:space="preserve">TEMPO DE DESLOCAMENTO IDA E VOLTA DA BASE EM HORAS</t>
  </si>
  <si>
    <t xml:space="preserve">ISS</t>
  </si>
  <si>
    <t xml:space="preserve">ÁREA CONSTRUÍDA (M²)</t>
  </si>
  <si>
    <t xml:space="preserve">Uso constante
(M²)</t>
  </si>
  <si>
    <t xml:space="preserve">Uso esporádico (M²)</t>
  </si>
  <si>
    <t xml:space="preserve">Ociosa (M²)</t>
  </si>
  <si>
    <t xml:space="preserve">HIDRANTE</t>
  </si>
  <si>
    <t xml:space="preserve">SUBESTAÇÃO</t>
  </si>
  <si>
    <t xml:space="preserve">CASCAVEL</t>
  </si>
  <si>
    <t xml:space="preserve">Rua Angelo Peruzzo, 37, Centro</t>
  </si>
  <si>
    <t xml:space="preserve">NÃO</t>
  </si>
  <si>
    <t xml:space="preserve">Rua Paraná, 1147, Centro</t>
  </si>
  <si>
    <t xml:space="preserve">Rua Guanabara, 410</t>
  </si>
  <si>
    <t xml:space="preserve">SIM</t>
  </si>
  <si>
    <t xml:space="preserve">Rua Santos Dumont, 288</t>
  </si>
  <si>
    <t xml:space="preserve">Av. Clevelândia, 684, Centro</t>
  </si>
  <si>
    <t xml:space="preserve">Rua Tapajós, 520</t>
  </si>
  <si>
    <t xml:space="preserve">Rua Arnaldo Busato, 3107</t>
  </si>
  <si>
    <t xml:space="preserve">Rua Jesuíno Teodorico de Andrade, 1417</t>
  </si>
  <si>
    <t xml:space="preserve">Rua Campos Novos, 211, Centro</t>
  </si>
  <si>
    <t xml:space="preserve">Rua São João Batista, 613, Centro</t>
  </si>
  <si>
    <t xml:space="preserve">Rua Ernesto Hachmann, 435, Centro</t>
  </si>
  <si>
    <t xml:space="preserve">Rua Rui Barbosa, 42D, Centro</t>
  </si>
  <si>
    <t xml:space="preserve">Rua Independência, 221, Centro</t>
  </si>
  <si>
    <t xml:space="preserve">Av. Adelino Mangini, 313</t>
  </si>
  <si>
    <t xml:space="preserve">Av. Olavo Bilac, S/N, São José</t>
  </si>
  <si>
    <t xml:space="preserve">Rua Felipe Schmidt, 12, Centro</t>
  </si>
  <si>
    <t xml:space="preserve">Av. Euclides da Cunha, 11, Centro</t>
  </si>
  <si>
    <t xml:space="preserve">Rua Travessa Chapecó, 100</t>
  </si>
  <si>
    <t xml:space="preserve">Rua Gilio Rezzieri, 650, Centro</t>
  </si>
  <si>
    <t xml:space="preserve">Rua XV de Novembro, 1460, Centro</t>
  </si>
  <si>
    <t xml:space="preserve">Rua Saúl Brandalise, 201, Centro</t>
  </si>
  <si>
    <t xml:space="preserve">Rua Marechal Bormann, 360, Centro</t>
  </si>
  <si>
    <t xml:space="preserve">Rua Júlio Lunardi, 1725</t>
  </si>
  <si>
    <t xml:space="preserve">Rua Índio Condá, 600, Santa Maria</t>
  </si>
  <si>
    <t xml:space="preserve">PLANILHA DE COMPOSIÇÃO DAS TAXAS DE BONIFICAÇÃO E DESPESAS INDIRETAS (BDI)</t>
  </si>
  <si>
    <t xml:space="preserve">Fórmula utilizada no Acórdão TCU 2622/2013</t>
  </si>
  <si>
    <t xml:space="preserve">BDI = (((1+AC+S+R+G)*(1+DF)*(1+L)) / (1-I)) -1</t>
  </si>
  <si>
    <t xml:space="preserve">onde:</t>
  </si>
  <si>
    <t xml:space="preserve">AC = Taxa de Administração Central</t>
  </si>
  <si>
    <t xml:space="preserve">S = Taxa de Seguros</t>
  </si>
  <si>
    <t xml:space="preserve">R = Taxa de Riscos</t>
  </si>
  <si>
    <t xml:space="preserve">G = Taxa de Garantias (incluída no seguro)</t>
  </si>
  <si>
    <t xml:space="preserve">DF = Taxa de Despesas Financeiras</t>
  </si>
  <si>
    <t xml:space="preserve">L = Taxa de Lucro/Remuneração</t>
  </si>
  <si>
    <t xml:space="preserve">I = Taxa de Incidência de Impostos (PIS, COFINS, ISS e CPRB)</t>
  </si>
  <si>
    <t xml:space="preserve">ESTIMATIVA DE COMPOSIÇÃO DA TAXA DE BDI PARA OBRAS E SERVIÇOS</t>
  </si>
  <si>
    <t xml:space="preserve">AC</t>
  </si>
  <si>
    <t xml:space="preserve">AC = TAXA DE ADMINISTRAÇÃO CENTRAL</t>
  </si>
  <si>
    <t xml:space="preserve">DF</t>
  </si>
  <si>
    <t xml:space="preserve">DF = TAXA DE DESPESAS FINANCEIRAS</t>
  </si>
  <si>
    <t xml:space="preserve">S+G</t>
  </si>
  <si>
    <t xml:space="preserve">S+G = TAXA DE SEGUROS + GARANTIAS</t>
  </si>
  <si>
    <t xml:space="preserve">R</t>
  </si>
  <si>
    <t xml:space="preserve">R = TAXA DE RISCOS</t>
  </si>
  <si>
    <t xml:space="preserve">L</t>
  </si>
  <si>
    <t xml:space="preserve">L = TAXA DE LUCRO/REMUNERAÇÃO</t>
  </si>
  <si>
    <t xml:space="preserve">PIS</t>
  </si>
  <si>
    <t xml:space="preserve">COFINS</t>
  </si>
  <si>
    <t xml:space="preserve">CPRB</t>
  </si>
  <si>
    <t xml:space="preserve">BDI CALCULADO</t>
  </si>
  <si>
    <t xml:space="preserve">BDI ADOTADO</t>
  </si>
  <si>
    <t xml:space="preserve">ESTIMATIVA DE COMPOSIÇÃO DA TAXA DE BDI PARA EQUIPAMENTOS</t>
  </si>
  <si>
    <t xml:space="preserve">ISS do município</t>
  </si>
  <si>
    <t xml:space="preserve">Custo anual preventiva SEM BDI</t>
  </si>
  <si>
    <t xml:space="preserve">Custo anual preventiva COM BDI</t>
  </si>
  <si>
    <t xml:space="preserve">Alíquota ISS (%)</t>
  </si>
  <si>
    <t xml:space="preserve">Preventiva Sem BDI</t>
  </si>
  <si>
    <t xml:space="preserve">Preventiva Com BDI</t>
  </si>
  <si>
    <t xml:space="preserve">Valor total sem BDI</t>
  </si>
  <si>
    <t xml:space="preserve">Valor total com BDI</t>
  </si>
  <si>
    <t xml:space="preserve">% sem BDI</t>
  </si>
  <si>
    <t xml:space="preserve">% com BDI</t>
  </si>
</sst>
</file>

<file path=xl/styles.xml><?xml version="1.0" encoding="utf-8"?>
<styleSheet xmlns="http://schemas.openxmlformats.org/spreadsheetml/2006/main">
  <numFmts count="18">
    <numFmt numFmtId="164" formatCode="General"/>
    <numFmt numFmtId="165" formatCode="&quot; R$ &quot;* #,##0.00\ ;&quot;-R$ &quot;* #,##0.00\ ;&quot; R$ &quot;* \-#\ ;@\ "/>
    <numFmt numFmtId="166" formatCode="0%"/>
    <numFmt numFmtId="167" formatCode="[$R$-416]\ #,##0.00;[RED]\-[$R$-416]\ #,##0.00"/>
    <numFmt numFmtId="168" formatCode="General"/>
    <numFmt numFmtId="169" formatCode="#,##0.00"/>
    <numFmt numFmtId="170" formatCode="0.00"/>
    <numFmt numFmtId="171" formatCode="0.0000%"/>
    <numFmt numFmtId="172" formatCode="#,##0.00\ ;[RED]\(#,##0.00\)"/>
    <numFmt numFmtId="173" formatCode="0.00%"/>
    <numFmt numFmtId="174" formatCode="#,##0.0"/>
    <numFmt numFmtId="175" formatCode="#,##0"/>
    <numFmt numFmtId="176" formatCode="_-* #,##0.00_-;\-* #,##0.00_-;_-* \-??_-;_-@_-"/>
    <numFmt numFmtId="177" formatCode="0"/>
    <numFmt numFmtId="178" formatCode="@"/>
    <numFmt numFmtId="179" formatCode="&quot;R$ &quot;#,##0.00"/>
    <numFmt numFmtId="180" formatCode="d/m/yyyy"/>
    <numFmt numFmtId="181" formatCode="&quot;R$ &quot;#,##0.00;[RED]&quot;-R$ &quot;#,##0.00"/>
  </numFmts>
  <fonts count="30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i val="true"/>
      <sz val="10"/>
      <name val="Arial"/>
      <family val="2"/>
      <charset val="1"/>
    </font>
    <font>
      <sz val="10"/>
      <color rgb="FF000000"/>
      <name val="Times New Roman"/>
      <family val="1"/>
      <charset val="1"/>
    </font>
    <font>
      <b val="true"/>
      <sz val="10"/>
      <color rgb="FFFF000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sz val="10"/>
      <name val="Arial"/>
      <family val="1"/>
      <charset val="1"/>
    </font>
    <font>
      <b val="true"/>
      <sz val="10"/>
      <color theme="1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sz val="10"/>
      <color rgb="FF000000"/>
      <name val="Arial"/>
      <family val="0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;Arial"/>
      <family val="2"/>
      <charset val="1"/>
    </font>
    <font>
      <sz val="12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sz val="13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theme="0" tint="-0.15"/>
        <bgColor rgb="FFDCDADA"/>
      </patternFill>
    </fill>
    <fill>
      <patternFill patternType="solid">
        <fgColor theme="6" tint="0.7998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theme="6" tint="0.5997"/>
        <bgColor rgb="FFDCDADA"/>
      </patternFill>
    </fill>
    <fill>
      <patternFill patternType="solid">
        <fgColor rgb="FFFFFFFF"/>
        <bgColor rgb="FFEEEEEE"/>
      </patternFill>
    </fill>
    <fill>
      <patternFill patternType="solid">
        <fgColor theme="2" tint="-0.05"/>
        <bgColor rgb="FFDBDBDB"/>
      </patternFill>
    </fill>
    <fill>
      <patternFill patternType="solid">
        <fgColor theme="6" tint="0.3997"/>
        <bgColor rgb="FFD9D9D9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4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2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5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3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1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3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3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8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9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3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0" fontId="10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2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0" fontId="1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70" fontId="12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2" fontId="12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4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3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0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0" borderId="2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2" fillId="0" borderId="4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0" borderId="3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8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0" borderId="9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12" fillId="0" borderId="4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2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7" fontId="12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6" fillId="4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4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2" fillId="6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22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22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1" fillId="0" borderId="1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11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2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2" fontId="12" fillId="4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1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2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3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2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8" fontId="20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1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0" fillId="7" borderId="0" xfId="25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8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2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1" fillId="7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8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3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3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3" fillId="8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9" fontId="5" fillId="0" borderId="0" xfId="23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9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0" fillId="7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25" fillId="7" borderId="1" xfId="2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20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2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3" fillId="4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80" fontId="0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7" borderId="1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9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9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13" fillId="4" borderId="1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9" fontId="5" fillId="0" borderId="0" xfId="23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80" fontId="5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3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3" borderId="2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0" fillId="7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0" fillId="0" borderId="1" xfId="27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9" fillId="7" borderId="1" xfId="27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25" fillId="7" borderId="1" xfId="2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9" fillId="7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7" fontId="20" fillId="7" borderId="0" xfId="27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22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2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2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23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0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7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0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20" fillId="7" borderId="1" xfId="2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8" fontId="8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1" fillId="0" borderId="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7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8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6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1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4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4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2" fillId="4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2" fillId="4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2" fillId="4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12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3" fontId="12" fillId="4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3" fontId="12" fillId="4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3" fontId="12" fillId="4" borderId="1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81" fontId="13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3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9" fontId="12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3" xfId="22"/>
    <cellStyle name="Normal 4" xfId="23"/>
    <cellStyle name="Porcentagem 2" xfId="24"/>
    <cellStyle name="TableStyleLight1" xfId="25"/>
    <cellStyle name="TableStyleLight1 2" xfId="26"/>
    <cellStyle name="TableStyleLight1 3" xfId="27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9C9C9"/>
      <rgbColor rgb="FF808080"/>
      <rgbColor rgb="FF9999FF"/>
      <rgbColor rgb="FF993366"/>
      <rgbColor rgb="FFEEEEEE"/>
      <rgbColor rgb="FFEDEDE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DBDB"/>
      <rgbColor rgb="FFCCFFCC"/>
      <rgbColor rgb="FFFFFF99"/>
      <rgbColor rgb="FF99CCFF"/>
      <rgbColor rgb="FFFF99CC"/>
      <rgbColor rgb="FFCC99FF"/>
      <rgbColor rgb="FFDCDADA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worksheet" Target="worksheets/sheet16.xml"/><Relationship Id="rId3" Type="http://schemas.openxmlformats.org/officeDocument/2006/relationships/worksheet" Target="worksheets/sheet1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" Type="http://schemas.openxmlformats.org/officeDocument/2006/relationships/styles" Target="styles.xml"/><Relationship Id="rId16" Type="http://schemas.openxmlformats.org/officeDocument/2006/relationships/worksheet" Target="worksheets/sheet14.xml"/><Relationship Id="rId20" Type="http://schemas.openxmlformats.org/officeDocument/2006/relationships/worksheet" Target="worksheets/sheet18.xml"/><Relationship Id="rId1" Type="http://schemas.openxmlformats.org/officeDocument/2006/relationships/theme" Target="theme/theme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24" Type="http://schemas.openxmlformats.org/officeDocument/2006/relationships/customXml" Target="../customXml/item6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23" Type="http://schemas.openxmlformats.org/officeDocument/2006/relationships/customXml" Target="../customXml/item5.xml"/><Relationship Id="rId10" Type="http://schemas.openxmlformats.org/officeDocument/2006/relationships/worksheet" Target="worksheets/sheet8.xml"/><Relationship Id="rId19" Type="http://schemas.openxmlformats.org/officeDocument/2006/relationships/worksheet" Target="worksheets/sheet17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Relationship Id="rId22" Type="http://schemas.openxmlformats.org/officeDocument/2006/relationships/customXml" Target="../customXml/item4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1579320</xdr:colOff>
      <xdr:row>1</xdr:row>
      <xdr:rowOff>97920</xdr:rowOff>
    </xdr:from>
    <xdr:to>
      <xdr:col>5</xdr:col>
      <xdr:colOff>43560</xdr:colOff>
      <xdr:row>1</xdr:row>
      <xdr:rowOff>1173240</xdr:rowOff>
    </xdr:to>
    <xdr:sp>
      <xdr:nvSpPr>
        <xdr:cNvPr id="0" name="CustomShape 1"/>
        <xdr:cNvSpPr/>
      </xdr:nvSpPr>
      <xdr:spPr>
        <a:xfrm>
          <a:off x="2441160" y="288360"/>
          <a:ext cx="2637360" cy="10753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377640</xdr:colOff>
      <xdr:row>1</xdr:row>
      <xdr:rowOff>1144440</xdr:rowOff>
    </xdr:to>
    <xdr:pic>
      <xdr:nvPicPr>
        <xdr:cNvPr id="1" name="Imagem 3" descr=""/>
        <xdr:cNvPicPr/>
      </xdr:nvPicPr>
      <xdr:blipFill>
        <a:blip r:embed="rId1"/>
        <a:stretch/>
      </xdr:blipFill>
      <xdr:spPr>
        <a:xfrm>
          <a:off x="2957400" y="398160"/>
          <a:ext cx="2019600" cy="9367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142560</xdr:colOff>
      <xdr:row>25</xdr:row>
      <xdr:rowOff>87480</xdr:rowOff>
    </xdr:from>
    <xdr:to>
      <xdr:col>2</xdr:col>
      <xdr:colOff>2756520</xdr:colOff>
      <xdr:row>29</xdr:row>
      <xdr:rowOff>53640</xdr:rowOff>
    </xdr:to>
    <xdr:pic>
      <xdr:nvPicPr>
        <xdr:cNvPr id="2" name="Figura 2" descr=""/>
        <xdr:cNvPicPr/>
      </xdr:nvPicPr>
      <xdr:blipFill>
        <a:blip r:embed="rId1"/>
        <a:srcRect l="17755" t="51097" r="20979" b="38289"/>
        <a:stretch/>
      </xdr:blipFill>
      <xdr:spPr>
        <a:xfrm>
          <a:off x="578160" y="6297840"/>
          <a:ext cx="6274800" cy="690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6840</xdr:colOff>
      <xdr:row>21</xdr:row>
      <xdr:rowOff>30960</xdr:rowOff>
    </xdr:from>
    <xdr:to>
      <xdr:col>3</xdr:col>
      <xdr:colOff>160200</xdr:colOff>
      <xdr:row>21</xdr:row>
      <xdr:rowOff>525240</xdr:rowOff>
    </xdr:to>
    <xdr:pic>
      <xdr:nvPicPr>
        <xdr:cNvPr id="3" name="Figura 1" descr=""/>
        <xdr:cNvPicPr/>
      </xdr:nvPicPr>
      <xdr:blipFill>
        <a:blip r:embed="rId2"/>
        <a:srcRect l="6614" t="69087" r="12463" b="20115"/>
        <a:stretch/>
      </xdr:blipFill>
      <xdr:spPr>
        <a:xfrm>
          <a:off x="442440" y="4374360"/>
          <a:ext cx="6690240" cy="4942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142560</xdr:colOff>
      <xdr:row>25</xdr:row>
      <xdr:rowOff>87480</xdr:rowOff>
    </xdr:from>
    <xdr:to>
      <xdr:col>2</xdr:col>
      <xdr:colOff>2756520</xdr:colOff>
      <xdr:row>29</xdr:row>
      <xdr:rowOff>53640</xdr:rowOff>
    </xdr:to>
    <xdr:pic>
      <xdr:nvPicPr>
        <xdr:cNvPr id="4" name="Figura 2" descr=""/>
        <xdr:cNvPicPr/>
      </xdr:nvPicPr>
      <xdr:blipFill>
        <a:blip r:embed="rId1"/>
        <a:srcRect l="17755" t="51097" r="20979" b="38289"/>
        <a:stretch/>
      </xdr:blipFill>
      <xdr:spPr>
        <a:xfrm>
          <a:off x="578160" y="6402600"/>
          <a:ext cx="6274800" cy="690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335160</xdr:colOff>
      <xdr:row>20</xdr:row>
      <xdr:rowOff>142560</xdr:rowOff>
    </xdr:from>
    <xdr:to>
      <xdr:col>3</xdr:col>
      <xdr:colOff>1800</xdr:colOff>
      <xdr:row>22</xdr:row>
      <xdr:rowOff>2160</xdr:rowOff>
    </xdr:to>
    <xdr:pic>
      <xdr:nvPicPr>
        <xdr:cNvPr id="5" name="Figura 4" descr=""/>
        <xdr:cNvPicPr/>
      </xdr:nvPicPr>
      <xdr:blipFill>
        <a:blip r:embed="rId2"/>
        <a:srcRect l="14214" t="63706" r="19674" b="19102"/>
        <a:stretch/>
      </xdr:blipFill>
      <xdr:spPr>
        <a:xfrm>
          <a:off x="335160" y="4095360"/>
          <a:ext cx="6639120" cy="974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1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FF"/>
    <pageSetUpPr fitToPage="false"/>
  </sheetPr>
  <dimension ref="B1:G6554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3" activeCellId="0" sqref="B13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" width="5.5"/>
    <col collapsed="false" customWidth="true" hidden="false" outlineLevel="0" max="3" min="3" style="2" width="42.12"/>
    <col collapsed="false" customWidth="true" hidden="false" outlineLevel="0" max="4" min="4" style="2" width="6.12"/>
    <col collapsed="false" customWidth="true" hidden="false" outlineLevel="0" max="5" min="5" style="2" width="5.62"/>
    <col collapsed="false" customWidth="true" hidden="false" outlineLevel="0" max="6" min="6" style="2" width="15.26"/>
    <col collapsed="false" customWidth="true" hidden="false" outlineLevel="0" max="7" min="7" style="2" width="20"/>
    <col collapsed="false" customWidth="true" hidden="false" outlineLevel="0" max="254" min="8" style="2" width="10.62"/>
    <col collapsed="false" customWidth="true" hidden="false" outlineLevel="0" max="1026" min="255" style="1" width="10.5"/>
  </cols>
  <sheetData>
    <row r="1" customFormat="false" ht="15" hidden="false" customHeight="true" outlineLevel="0" collapsed="false"/>
    <row r="2" customFormat="false" ht="103.5" hidden="false" customHeight="true" outlineLevel="0" collapsed="false">
      <c r="B2" s="3"/>
      <c r="C2" s="3"/>
      <c r="D2" s="3"/>
      <c r="E2" s="3"/>
      <c r="F2" s="3"/>
      <c r="G2" s="3"/>
    </row>
    <row r="3" customFormat="false" ht="18" hidden="false" customHeight="true" outlineLevel="0" collapsed="false">
      <c r="B3" s="4"/>
      <c r="C3" s="4"/>
      <c r="D3" s="4"/>
      <c r="E3" s="4"/>
      <c r="F3" s="4"/>
      <c r="G3" s="4"/>
    </row>
    <row r="4" customFormat="false" ht="18" hidden="false" customHeight="true" outlineLevel="0" collapsed="false">
      <c r="B4" s="5" t="s">
        <v>0</v>
      </c>
      <c r="C4" s="5"/>
      <c r="D4" s="5"/>
      <c r="E4" s="5"/>
      <c r="F4" s="5"/>
      <c r="G4" s="5"/>
    </row>
    <row r="5" customFormat="false" ht="18" hidden="false" customHeight="true" outlineLevel="0" collapsed="false">
      <c r="B5" s="4"/>
      <c r="C5" s="4"/>
      <c r="D5" s="4"/>
      <c r="E5" s="4"/>
      <c r="F5" s="4"/>
      <c r="G5" s="4"/>
    </row>
    <row r="6" customFormat="false" ht="19.5" hidden="false" customHeight="true" outlineLevel="0" collapsed="false">
      <c r="B6" s="6" t="s">
        <v>1</v>
      </c>
      <c r="C6" s="6"/>
      <c r="D6" s="6"/>
      <c r="E6" s="6"/>
      <c r="F6" s="6"/>
      <c r="G6" s="6"/>
    </row>
    <row r="7" customFormat="false" ht="19.5" hidden="false" customHeight="true" outlineLevel="0" collapsed="false">
      <c r="B7" s="7" t="s">
        <v>2</v>
      </c>
      <c r="C7" s="7"/>
      <c r="D7" s="7"/>
      <c r="E7" s="7"/>
      <c r="F7" s="7"/>
      <c r="G7" s="7"/>
    </row>
    <row r="8" customFormat="false" ht="19.5" hidden="false" customHeight="true" outlineLevel="0" collapsed="false">
      <c r="B8" s="8" t="s">
        <v>3</v>
      </c>
      <c r="C8" s="8"/>
      <c r="D8" s="8"/>
      <c r="E8" s="8"/>
      <c r="F8" s="8"/>
      <c r="G8" s="8"/>
    </row>
    <row r="9" customFormat="false" ht="15.75" hidden="false" customHeight="true" outlineLevel="0" collapsed="false">
      <c r="B9" s="4"/>
      <c r="C9" s="4"/>
      <c r="D9" s="4"/>
      <c r="E9" s="4"/>
      <c r="F9" s="4"/>
      <c r="G9" s="4"/>
    </row>
    <row r="10" customFormat="false" ht="42" hidden="false" customHeight="true" outlineLevel="0" collapsed="false">
      <c r="B10" s="9" t="s">
        <v>4</v>
      </c>
      <c r="C10" s="9" t="s">
        <v>5</v>
      </c>
      <c r="D10" s="9" t="s">
        <v>6</v>
      </c>
      <c r="E10" s="9" t="s">
        <v>7</v>
      </c>
      <c r="F10" s="9" t="s">
        <v>8</v>
      </c>
      <c r="G10" s="9" t="s">
        <v>9</v>
      </c>
    </row>
    <row r="11" customFormat="false" ht="81" hidden="false" customHeight="true" outlineLevel="0" collapsed="false">
      <c r="B11" s="10" t="n">
        <v>2</v>
      </c>
      <c r="C11" s="11" t="s">
        <v>10</v>
      </c>
      <c r="D11" s="12" t="s">
        <v>11</v>
      </c>
      <c r="E11" s="12" t="n">
        <v>24</v>
      </c>
      <c r="F11" s="13" t="n">
        <f aca="false">ROUND(Resumo!D7+Resumo!F7,2)</f>
        <v>143466.95</v>
      </c>
      <c r="G11" s="14" t="n">
        <f aca="false">F11*E11</f>
        <v>3443206.8</v>
      </c>
    </row>
    <row r="12" customFormat="false" ht="42" hidden="false" customHeight="true" outlineLevel="0" collapsed="false">
      <c r="B12" s="15" t="s">
        <v>12</v>
      </c>
      <c r="C12" s="15"/>
      <c r="D12" s="15"/>
      <c r="E12" s="15"/>
      <c r="F12" s="15"/>
      <c r="G12" s="15"/>
    </row>
    <row r="15" customFormat="false" ht="13.5" hidden="false" customHeight="false" outlineLevel="0" collapsed="false"/>
    <row r="65541" customFormat="false" ht="12.75" hidden="false" customHeight="true" outlineLevel="0" collapsed="false"/>
  </sheetData>
  <mergeCells count="6">
    <mergeCell ref="B2:G2"/>
    <mergeCell ref="B4:G4"/>
    <mergeCell ref="B6:G6"/>
    <mergeCell ref="B7:G7"/>
    <mergeCell ref="B8:G8"/>
    <mergeCell ref="B12:G12"/>
  </mergeCells>
  <printOptions headings="false" gridLines="false" gridLinesSet="true" horizontalCentered="true" verticalCentered="fals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F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6" activeCellId="0" sqref="C6"/>
    </sheetView>
  </sheetViews>
  <sheetFormatPr defaultColWidth="10.50390625" defaultRowHeight="14.25" zeroHeight="false" outlineLevelRow="0" outlineLevelCol="0"/>
  <cols>
    <col collapsed="false" customWidth="true" hidden="false" outlineLevel="0" max="1" min="1" style="181" width="5.26"/>
    <col collapsed="false" customWidth="true" hidden="false" outlineLevel="0" max="2" min="2" style="181" width="35"/>
    <col collapsed="false" customWidth="true" hidden="false" outlineLevel="0" max="3" min="3" style="181" width="28.88"/>
    <col collapsed="false" customWidth="true" hidden="false" outlineLevel="0" max="4" min="4" style="181" width="15.62"/>
    <col collapsed="false" customWidth="true" hidden="false" outlineLevel="0" max="5" min="5" style="181" width="7.76"/>
    <col collapsed="false" customWidth="false" hidden="false" outlineLevel="0" max="6" min="6" style="181" width="10.5"/>
  </cols>
  <sheetData>
    <row r="1" customFormat="false" ht="15" hidden="false" customHeight="true" outlineLevel="0" collapsed="false"/>
    <row r="2" customFormat="false" ht="15" hidden="false" customHeight="true" outlineLevel="0" collapsed="false">
      <c r="C2" s="182" t="s">
        <v>182</v>
      </c>
    </row>
    <row r="3" customFormat="false" ht="15" hidden="false" customHeight="true" outlineLevel="0" collapsed="false">
      <c r="B3" s="183" t="s">
        <v>183</v>
      </c>
      <c r="C3" s="182" t="s">
        <v>184</v>
      </c>
    </row>
    <row r="4" customFormat="false" ht="15" hidden="false" customHeight="true" outlineLevel="0" collapsed="false">
      <c r="B4" s="183" t="s">
        <v>185</v>
      </c>
      <c r="C4" s="184" t="s">
        <v>186</v>
      </c>
    </row>
    <row r="5" customFormat="false" ht="15" hidden="false" customHeight="true" outlineLevel="0" collapsed="false">
      <c r="B5" s="183" t="s">
        <v>187</v>
      </c>
      <c r="C5" s="184" t="s">
        <v>156</v>
      </c>
    </row>
    <row r="6" customFormat="false" ht="15" hidden="false" customHeight="true" outlineLevel="0" collapsed="false">
      <c r="B6" s="183" t="s">
        <v>188</v>
      </c>
      <c r="C6" s="185" t="n">
        <v>78.48</v>
      </c>
    </row>
    <row r="7" customFormat="false" ht="14.25" hidden="false" customHeight="false" outlineLevel="0" collapsed="false">
      <c r="B7" s="186"/>
      <c r="C7" s="187"/>
    </row>
    <row r="8" customFormat="false" ht="27.75" hidden="false" customHeight="true" outlineLevel="0" collapsed="false">
      <c r="B8" s="188" t="s">
        <v>189</v>
      </c>
      <c r="C8" s="189" t="s">
        <v>190</v>
      </c>
    </row>
    <row r="9" customFormat="false" ht="15" hidden="false" customHeight="true" outlineLevel="0" collapsed="false">
      <c r="B9" s="183" t="s">
        <v>191</v>
      </c>
      <c r="C9" s="190" t="n">
        <v>0.9254</v>
      </c>
    </row>
    <row r="10" customFormat="false" ht="15" hidden="false" customHeight="true" outlineLevel="0" collapsed="false">
      <c r="B10" s="183" t="s">
        <v>192</v>
      </c>
      <c r="C10" s="190" t="n">
        <v>1.156</v>
      </c>
    </row>
    <row r="11" customFormat="false" ht="13.5" hidden="false" customHeight="true" outlineLevel="0" collapsed="false">
      <c r="B11" s="186"/>
      <c r="C11" s="186"/>
    </row>
    <row r="12" customFormat="false" ht="15" hidden="false" customHeight="true" outlineLevel="0" collapsed="false">
      <c r="B12" s="191" t="s">
        <v>193</v>
      </c>
      <c r="C12" s="192"/>
    </row>
    <row r="13" customFormat="false" ht="15" hidden="false" customHeight="true" outlineLevel="0" collapsed="false">
      <c r="B13" s="183" t="s">
        <v>194</v>
      </c>
      <c r="C13" s="193" t="n">
        <f aca="false">C6*(1+C9)</f>
        <v>151.105392</v>
      </c>
      <c r="D13" s="194"/>
      <c r="F13" s="195"/>
    </row>
    <row r="14" customFormat="false" ht="15" hidden="false" customHeight="true" outlineLevel="0" collapsed="false">
      <c r="B14" s="183" t="s">
        <v>195</v>
      </c>
      <c r="C14" s="193" t="n">
        <f aca="false">C6*(1+C10)</f>
        <v>169.20288</v>
      </c>
      <c r="D14" s="194"/>
      <c r="F14" s="195"/>
    </row>
    <row r="16" customFormat="false" ht="38.25" hidden="false" customHeight="true" outlineLevel="0" collapsed="false">
      <c r="B16" s="196" t="s">
        <v>196</v>
      </c>
      <c r="C16" s="196"/>
    </row>
  </sheetData>
  <mergeCells count="1">
    <mergeCell ref="B16:C1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20" activeCellId="0" sqref="G20"/>
    </sheetView>
  </sheetViews>
  <sheetFormatPr defaultColWidth="8.50390625" defaultRowHeight="14.25" zeroHeight="false" outlineLevelRow="0" outlineLevelCol="0"/>
  <cols>
    <col collapsed="false" customWidth="true" hidden="false" outlineLevel="0" max="1" min="1" style="1" width="5.26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3.76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67" t="s">
        <v>197</v>
      </c>
      <c r="C2" s="167"/>
      <c r="D2" s="167"/>
      <c r="E2" s="167"/>
      <c r="F2" s="167"/>
      <c r="G2" s="167"/>
      <c r="H2" s="167"/>
      <c r="I2" s="167"/>
    </row>
    <row r="3" customFormat="false" ht="19.5" hidden="false" customHeight="true" outlineLevel="0" collapsed="false"/>
    <row r="4" customFormat="false" ht="16.5" hidden="false" customHeight="true" outlineLevel="0" collapsed="false">
      <c r="B4" s="168" t="s">
        <v>198</v>
      </c>
      <c r="C4" s="168"/>
      <c r="D4" s="168"/>
      <c r="E4" s="168"/>
      <c r="F4" s="168"/>
      <c r="G4" s="168"/>
      <c r="H4" s="168"/>
      <c r="I4" s="168"/>
    </row>
    <row r="5" customFormat="false" ht="16.5" hidden="false" customHeight="true" outlineLevel="0" collapsed="false">
      <c r="B5" s="197" t="s">
        <v>152</v>
      </c>
      <c r="C5" s="197"/>
      <c r="D5" s="198" t="n">
        <v>91677</v>
      </c>
      <c r="E5" s="198"/>
      <c r="F5" s="198"/>
      <c r="G5" s="198"/>
      <c r="H5" s="198"/>
      <c r="I5" s="198"/>
    </row>
    <row r="6" customFormat="false" ht="16.5" hidden="false" customHeight="true" outlineLevel="0" collapsed="false">
      <c r="B6" s="197" t="s">
        <v>122</v>
      </c>
      <c r="C6" s="197"/>
      <c r="D6" s="198" t="s">
        <v>199</v>
      </c>
      <c r="E6" s="198"/>
      <c r="F6" s="198"/>
      <c r="G6" s="198"/>
      <c r="H6" s="198"/>
      <c r="I6" s="198"/>
    </row>
    <row r="7" customFormat="false" ht="16.5" hidden="false" customHeight="true" outlineLevel="0" collapsed="false">
      <c r="B7" s="197" t="s">
        <v>155</v>
      </c>
      <c r="C7" s="197"/>
      <c r="D7" s="199" t="s">
        <v>156</v>
      </c>
      <c r="E7" s="199"/>
      <c r="F7" s="199"/>
      <c r="G7" s="199"/>
      <c r="H7" s="199"/>
      <c r="I7" s="199"/>
    </row>
    <row r="8" customFormat="false" ht="16.5" hidden="false" customHeight="true" outlineLevel="0" collapsed="false">
      <c r="B8" s="197" t="s">
        <v>157</v>
      </c>
      <c r="C8" s="197"/>
      <c r="D8" s="198" t="s">
        <v>182</v>
      </c>
      <c r="E8" s="198"/>
      <c r="F8" s="198"/>
      <c r="G8" s="198"/>
      <c r="H8" s="198"/>
      <c r="I8" s="198"/>
    </row>
    <row r="9" customFormat="false" ht="16.5" hidden="false" customHeight="true" outlineLevel="0" collapsed="false">
      <c r="B9" s="197" t="s">
        <v>159</v>
      </c>
      <c r="C9" s="197"/>
      <c r="D9" s="198" t="s">
        <v>200</v>
      </c>
      <c r="E9" s="198"/>
      <c r="F9" s="198"/>
      <c r="G9" s="198"/>
      <c r="H9" s="198"/>
      <c r="I9" s="198"/>
    </row>
    <row r="10" customFormat="false" ht="16.5" hidden="false" customHeight="true" outlineLevel="0" collapsed="false">
      <c r="B10" s="197" t="s">
        <v>123</v>
      </c>
      <c r="C10" s="197"/>
      <c r="D10" s="198" t="s">
        <v>168</v>
      </c>
      <c r="E10" s="198"/>
      <c r="F10" s="198"/>
      <c r="G10" s="198"/>
      <c r="H10" s="198"/>
      <c r="I10" s="198"/>
    </row>
    <row r="11" customFormat="false" ht="23.25" hidden="false" customHeight="true" outlineLevel="0" collapsed="false">
      <c r="B11" s="169" t="s">
        <v>161</v>
      </c>
      <c r="C11" s="169"/>
      <c r="D11" s="200" t="n">
        <f aca="false">SUM(I15:I20)</f>
        <v>173.91288</v>
      </c>
      <c r="E11" s="200"/>
      <c r="F11" s="200"/>
      <c r="G11" s="200"/>
      <c r="H11" s="200"/>
      <c r="I11" s="200"/>
    </row>
    <row r="12" customFormat="false" ht="15.75" hidden="false" customHeight="true" outlineLevel="0" collapsed="false">
      <c r="B12" s="173"/>
      <c r="C12" s="173"/>
      <c r="D12" s="174"/>
      <c r="E12" s="174"/>
      <c r="F12" s="174"/>
      <c r="G12" s="174"/>
      <c r="H12" s="174"/>
      <c r="I12" s="174"/>
    </row>
    <row r="13" customFormat="false" ht="15.75" hidden="false" customHeight="true" outlineLevel="0" collapsed="false">
      <c r="B13" s="173"/>
      <c r="C13" s="173"/>
      <c r="D13" s="174"/>
      <c r="E13" s="174"/>
      <c r="F13" s="174"/>
      <c r="G13" s="174"/>
      <c r="H13" s="174"/>
      <c r="I13" s="174"/>
    </row>
    <row r="14" customFormat="false" ht="45" hidden="false" customHeight="false" outlineLevel="0" collapsed="false">
      <c r="B14" s="175"/>
      <c r="C14" s="175" t="s">
        <v>162</v>
      </c>
      <c r="D14" s="175" t="s">
        <v>122</v>
      </c>
      <c r="E14" s="175" t="s">
        <v>159</v>
      </c>
      <c r="F14" s="175" t="s">
        <v>123</v>
      </c>
      <c r="G14" s="176" t="s">
        <v>163</v>
      </c>
      <c r="H14" s="175" t="s">
        <v>164</v>
      </c>
      <c r="I14" s="175" t="s">
        <v>161</v>
      </c>
    </row>
    <row r="15" customFormat="false" ht="19.5" hidden="false" customHeight="true" outlineLevel="0" collapsed="false">
      <c r="B15" s="177" t="s">
        <v>201</v>
      </c>
      <c r="C15" s="177" t="s">
        <v>202</v>
      </c>
      <c r="D15" s="177" t="s">
        <v>203</v>
      </c>
      <c r="E15" s="177" t="s">
        <v>204</v>
      </c>
      <c r="F15" s="177" t="s">
        <v>168</v>
      </c>
      <c r="G15" s="201" t="n">
        <v>2.45</v>
      </c>
      <c r="H15" s="179" t="n">
        <v>1</v>
      </c>
      <c r="I15" s="202" t="n">
        <f aca="false">G15*H15</f>
        <v>2.45</v>
      </c>
      <c r="J15" s="203"/>
      <c r="K15" s="203"/>
    </row>
    <row r="16" customFormat="false" ht="19.5" hidden="false" customHeight="true" outlineLevel="0" collapsed="false">
      <c r="B16" s="177" t="s">
        <v>201</v>
      </c>
      <c r="C16" s="177" t="s">
        <v>205</v>
      </c>
      <c r="D16" s="177" t="s">
        <v>184</v>
      </c>
      <c r="E16" s="177" t="s">
        <v>206</v>
      </c>
      <c r="F16" s="177" t="s">
        <v>168</v>
      </c>
      <c r="G16" s="179" t="n">
        <f aca="false">'Custo Eng. Eletricista'!C14</f>
        <v>169.20288</v>
      </c>
      <c r="H16" s="179" t="n">
        <v>1</v>
      </c>
      <c r="I16" s="202" t="n">
        <f aca="false">G16*H16</f>
        <v>169.20288</v>
      </c>
      <c r="J16" s="203"/>
      <c r="K16" s="203"/>
    </row>
    <row r="17" customFormat="false" ht="30" hidden="false" customHeight="true" outlineLevel="0" collapsed="false">
      <c r="B17" s="177" t="s">
        <v>201</v>
      </c>
      <c r="C17" s="177" t="s">
        <v>207</v>
      </c>
      <c r="D17" s="177" t="s">
        <v>208</v>
      </c>
      <c r="E17" s="177" t="s">
        <v>209</v>
      </c>
      <c r="F17" s="177" t="s">
        <v>168</v>
      </c>
      <c r="G17" s="179" t="n">
        <v>1.43</v>
      </c>
      <c r="H17" s="179" t="n">
        <v>1</v>
      </c>
      <c r="I17" s="202" t="n">
        <f aca="false">G17*H17</f>
        <v>1.43</v>
      </c>
      <c r="J17" s="203"/>
      <c r="K17" s="203"/>
    </row>
    <row r="18" customFormat="false" ht="30" hidden="false" customHeight="true" outlineLevel="0" collapsed="false">
      <c r="B18" s="177" t="s">
        <v>201</v>
      </c>
      <c r="C18" s="177" t="s">
        <v>210</v>
      </c>
      <c r="D18" s="177" t="s">
        <v>211</v>
      </c>
      <c r="E18" s="177" t="s">
        <v>212</v>
      </c>
      <c r="F18" s="177" t="s">
        <v>168</v>
      </c>
      <c r="G18" s="179" t="n">
        <v>0.08</v>
      </c>
      <c r="H18" s="179" t="n">
        <v>1</v>
      </c>
      <c r="I18" s="202" t="n">
        <f aca="false">G18*H18</f>
        <v>0.08</v>
      </c>
      <c r="J18" s="203"/>
      <c r="K18" s="203"/>
    </row>
    <row r="19" customFormat="false" ht="30" hidden="false" customHeight="true" outlineLevel="0" collapsed="false">
      <c r="B19" s="177" t="s">
        <v>201</v>
      </c>
      <c r="C19" s="177" t="s">
        <v>213</v>
      </c>
      <c r="D19" s="177" t="s">
        <v>214</v>
      </c>
      <c r="E19" s="177" t="s">
        <v>215</v>
      </c>
      <c r="F19" s="177" t="s">
        <v>168</v>
      </c>
      <c r="G19" s="179" t="n">
        <v>0.01</v>
      </c>
      <c r="H19" s="179" t="n">
        <v>1</v>
      </c>
      <c r="I19" s="202" t="n">
        <f aca="false">G19*H19</f>
        <v>0.01</v>
      </c>
      <c r="J19" s="203"/>
      <c r="K19" s="203"/>
    </row>
    <row r="20" customFormat="false" ht="30" hidden="false" customHeight="true" outlineLevel="0" collapsed="false">
      <c r="B20" s="177" t="s">
        <v>201</v>
      </c>
      <c r="C20" s="177" t="s">
        <v>216</v>
      </c>
      <c r="D20" s="177" t="s">
        <v>217</v>
      </c>
      <c r="E20" s="177" t="s">
        <v>215</v>
      </c>
      <c r="F20" s="177" t="s">
        <v>168</v>
      </c>
      <c r="G20" s="179" t="n">
        <v>0.74</v>
      </c>
      <c r="H20" s="179" t="n">
        <v>1</v>
      </c>
      <c r="I20" s="202" t="n">
        <f aca="false">G20*H20</f>
        <v>0.74</v>
      </c>
      <c r="J20" s="203"/>
      <c r="K20" s="203"/>
    </row>
    <row r="21" customFormat="false" ht="19.5" hidden="false" customHeight="true" outlineLevel="0" collapsed="false"/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25"/>
  <sheetViews>
    <sheetView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B23" activeCellId="0" sqref="B23"/>
    </sheetView>
  </sheetViews>
  <sheetFormatPr defaultColWidth="10.125" defaultRowHeight="14.25" zeroHeight="false" outlineLevelRow="0" outlineLevelCol="0"/>
  <cols>
    <col collapsed="false" customWidth="true" hidden="false" outlineLevel="0" max="1" min="1" style="181" width="5.62"/>
    <col collapsed="false" customWidth="true" hidden="false" outlineLevel="0" max="2" min="2" style="181" width="47.25"/>
    <col collapsed="false" customWidth="true" hidden="false" outlineLevel="0" max="3" min="3" style="181" width="37.12"/>
    <col collapsed="false" customWidth="true" hidden="false" outlineLevel="0" max="4" min="4" style="181" width="29.88"/>
    <col collapsed="false" customWidth="true" hidden="false" outlineLevel="0" max="5" min="5" style="181" width="14.25"/>
  </cols>
  <sheetData>
    <row r="1" customFormat="false" ht="15" hidden="false" customHeight="true" outlineLevel="0" collapsed="false"/>
    <row r="2" customFormat="false" ht="14.25" hidden="false" customHeight="false" outlineLevel="0" collapsed="false">
      <c r="C2" s="204" t="s">
        <v>182</v>
      </c>
    </row>
    <row r="3" customFormat="false" ht="14.25" hidden="false" customHeight="false" outlineLevel="0" collapsed="false">
      <c r="B3" s="183" t="s">
        <v>218</v>
      </c>
      <c r="C3" s="204" t="s">
        <v>219</v>
      </c>
    </row>
    <row r="4" customFormat="false" ht="14.25" hidden="false" customHeight="false" outlineLevel="0" collapsed="false">
      <c r="B4" s="183" t="s">
        <v>220</v>
      </c>
      <c r="C4" s="205" t="s">
        <v>221</v>
      </c>
    </row>
    <row r="5" customFormat="false" ht="14.25" hidden="false" customHeight="false" outlineLevel="0" collapsed="false">
      <c r="B5" s="183" t="s">
        <v>187</v>
      </c>
      <c r="C5" s="205" t="n">
        <v>45413</v>
      </c>
    </row>
    <row r="6" customFormat="false" ht="42.75" hidden="false" customHeight="false" outlineLevel="0" collapsed="false">
      <c r="B6" s="183" t="s">
        <v>222</v>
      </c>
      <c r="C6" s="205" t="s">
        <v>223</v>
      </c>
    </row>
    <row r="7" customFormat="false" ht="14.25" hidden="false" customHeight="false" outlineLevel="0" collapsed="false">
      <c r="B7" s="183" t="s">
        <v>224</v>
      </c>
      <c r="C7" s="206" t="n">
        <v>2898</v>
      </c>
    </row>
    <row r="8" customFormat="false" ht="14.25" hidden="false" customHeight="false" outlineLevel="0" collapsed="false">
      <c r="B8" s="207"/>
      <c r="C8" s="208"/>
    </row>
    <row r="9" customFormat="false" ht="25.5" hidden="false" customHeight="false" outlineLevel="0" collapsed="false">
      <c r="B9" s="209" t="s">
        <v>225</v>
      </c>
      <c r="C9" s="183"/>
    </row>
    <row r="10" customFormat="false" ht="13.5" hidden="false" customHeight="false" outlineLevel="0" collapsed="false">
      <c r="B10" s="183" t="s">
        <v>191</v>
      </c>
      <c r="C10" s="190" t="n">
        <v>0.9254</v>
      </c>
    </row>
    <row r="11" customFormat="false" ht="13.5" hidden="false" customHeight="false" outlineLevel="0" collapsed="false">
      <c r="B11" s="183" t="s">
        <v>161</v>
      </c>
      <c r="C11" s="190" t="n">
        <v>0.5341</v>
      </c>
    </row>
    <row r="12" customFormat="false" ht="13.5" hidden="false" customHeight="false" outlineLevel="0" collapsed="false">
      <c r="B12" s="183" t="s">
        <v>192</v>
      </c>
      <c r="C12" s="190" t="n">
        <v>1.156</v>
      </c>
    </row>
    <row r="13" customFormat="false" ht="13.5" hidden="false" customHeight="false" outlineLevel="0" collapsed="false">
      <c r="B13" s="183" t="s">
        <v>226</v>
      </c>
      <c r="C13" s="190" t="n">
        <v>0.718</v>
      </c>
    </row>
    <row r="14" customFormat="false" ht="13.5" hidden="false" customHeight="true" outlineLevel="0" collapsed="false">
      <c r="B14" s="207"/>
      <c r="C14" s="207"/>
    </row>
    <row r="15" customFormat="false" ht="14.25" hidden="false" customHeight="false" outlineLevel="0" collapsed="false">
      <c r="B15" s="191" t="s">
        <v>227</v>
      </c>
      <c r="C15" s="192"/>
    </row>
    <row r="16" customFormat="false" ht="15.75" hidden="false" customHeight="false" outlineLevel="0" collapsed="false">
      <c r="B16" s="210" t="s">
        <v>228</v>
      </c>
      <c r="C16" s="192" t="n">
        <f aca="false">C7*(1+C11)</f>
        <v>4445.8218</v>
      </c>
      <c r="D16" s="211"/>
      <c r="E16" s="211"/>
    </row>
    <row r="17" customFormat="false" ht="15.75" hidden="false" customHeight="false" outlineLevel="0" collapsed="false">
      <c r="B17" s="210" t="s">
        <v>229</v>
      </c>
      <c r="C17" s="192" t="n">
        <f aca="false">C7*(1+C13)</f>
        <v>4978.764</v>
      </c>
      <c r="D17" s="211"/>
      <c r="E17" s="211"/>
    </row>
    <row r="18" customFormat="false" ht="15.75" hidden="false" customHeight="false" outlineLevel="0" collapsed="false">
      <c r="B18" s="210" t="s">
        <v>230</v>
      </c>
      <c r="C18" s="212" t="n">
        <f aca="false">C16*(1+C10)/(220*(1+C11))</f>
        <v>25.3627690909091</v>
      </c>
      <c r="D18" s="213"/>
      <c r="E18" s="211"/>
    </row>
    <row r="19" customFormat="false" ht="15.75" hidden="false" customHeight="false" outlineLevel="0" collapsed="false">
      <c r="B19" s="210" t="s">
        <v>231</v>
      </c>
      <c r="C19" s="212" t="n">
        <f aca="false">(C17*(1+C12)/(220*(1+C13)))</f>
        <v>28.4004</v>
      </c>
      <c r="D19" s="213"/>
      <c r="E19" s="211"/>
    </row>
    <row r="21" customFormat="false" ht="14.25" hidden="false" customHeight="false" outlineLevel="0" collapsed="false">
      <c r="B21" s="181" t="s">
        <v>232</v>
      </c>
    </row>
    <row r="22" customFormat="false" ht="48.75" hidden="false" customHeight="true" outlineLevel="0" collapsed="false"/>
    <row r="23" customFormat="false" ht="34.5" hidden="false" customHeight="true" outlineLevel="0" collapsed="false">
      <c r="B23" s="196" t="s">
        <v>196</v>
      </c>
      <c r="C23" s="196"/>
    </row>
    <row r="24" customFormat="false" ht="33.75" hidden="false" customHeight="true" outlineLevel="0" collapsed="false">
      <c r="B24" s="196" t="s">
        <v>233</v>
      </c>
      <c r="C24" s="196"/>
    </row>
    <row r="25" customFormat="false" ht="30" hidden="false" customHeight="true" outlineLevel="0" collapsed="false">
      <c r="B25" s="196" t="s">
        <v>234</v>
      </c>
      <c r="C25" s="196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25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0" activeCellId="0" sqref="C10"/>
    </sheetView>
  </sheetViews>
  <sheetFormatPr defaultColWidth="10.125" defaultRowHeight="14.25" zeroHeight="false" outlineLevelRow="0" outlineLevelCol="0"/>
  <cols>
    <col collapsed="false" customWidth="true" hidden="false" outlineLevel="0" max="1" min="1" style="181" width="5.62"/>
    <col collapsed="false" customWidth="true" hidden="false" outlineLevel="0" max="2" min="2" style="181" width="47.25"/>
    <col collapsed="false" customWidth="true" hidden="false" outlineLevel="0" max="3" min="3" style="181" width="37.12"/>
    <col collapsed="false" customWidth="true" hidden="false" outlineLevel="0" max="4" min="4" style="181" width="29.88"/>
    <col collapsed="false" customWidth="true" hidden="false" outlineLevel="0" max="5" min="5" style="181" width="14.25"/>
  </cols>
  <sheetData>
    <row r="1" customFormat="false" ht="15" hidden="false" customHeight="true" outlineLevel="0" collapsed="false"/>
    <row r="2" customFormat="false" ht="14.25" hidden="false" customHeight="false" outlineLevel="0" collapsed="false">
      <c r="C2" s="204" t="s">
        <v>235</v>
      </c>
    </row>
    <row r="3" customFormat="false" ht="14.25" hidden="false" customHeight="false" outlineLevel="0" collapsed="false">
      <c r="B3" s="183" t="s">
        <v>218</v>
      </c>
      <c r="C3" s="204" t="s">
        <v>219</v>
      </c>
    </row>
    <row r="4" customFormat="false" ht="15" hidden="false" customHeight="false" outlineLevel="0" collapsed="false">
      <c r="B4" s="183" t="s">
        <v>220</v>
      </c>
      <c r="C4" s="214" t="s">
        <v>236</v>
      </c>
    </row>
    <row r="5" customFormat="false" ht="14.25" hidden="false" customHeight="false" outlineLevel="0" collapsed="false">
      <c r="B5" s="183" t="s">
        <v>187</v>
      </c>
      <c r="C5" s="214" t="n">
        <v>45444</v>
      </c>
    </row>
    <row r="6" customFormat="false" ht="25.5" hidden="false" customHeight="false" outlineLevel="0" collapsed="false">
      <c r="B6" s="183" t="s">
        <v>222</v>
      </c>
      <c r="C6" s="214" t="s">
        <v>237</v>
      </c>
    </row>
    <row r="7" customFormat="false" ht="14.25" hidden="false" customHeight="false" outlineLevel="0" collapsed="false">
      <c r="B7" s="183" t="s">
        <v>224</v>
      </c>
      <c r="C7" s="215" t="n">
        <v>2752.2</v>
      </c>
    </row>
    <row r="8" customFormat="false" ht="14.25" hidden="false" customHeight="false" outlineLevel="0" collapsed="false">
      <c r="B8" s="207"/>
      <c r="C8" s="208"/>
    </row>
    <row r="9" customFormat="false" ht="25.5" hidden="false" customHeight="false" outlineLevel="0" collapsed="false">
      <c r="B9" s="209" t="s">
        <v>238</v>
      </c>
      <c r="C9" s="183"/>
    </row>
    <row r="10" customFormat="false" ht="13.5" hidden="false" customHeight="false" outlineLevel="0" collapsed="false">
      <c r="B10" s="183" t="s">
        <v>191</v>
      </c>
      <c r="C10" s="190" t="n">
        <v>0.9345</v>
      </c>
    </row>
    <row r="11" customFormat="false" ht="13.5" hidden="false" customHeight="false" outlineLevel="0" collapsed="false">
      <c r="B11" s="183" t="s">
        <v>161</v>
      </c>
      <c r="C11" s="190" t="n">
        <v>0.542</v>
      </c>
    </row>
    <row r="12" customFormat="false" ht="13.5" hidden="false" customHeight="false" outlineLevel="0" collapsed="false">
      <c r="B12" s="183" t="s">
        <v>192</v>
      </c>
      <c r="C12" s="190" t="n">
        <v>1.1637</v>
      </c>
    </row>
    <row r="13" customFormat="false" ht="13.5" hidden="false" customHeight="false" outlineLevel="0" collapsed="false">
      <c r="B13" s="183" t="s">
        <v>226</v>
      </c>
      <c r="C13" s="190" t="n">
        <v>0.725</v>
      </c>
    </row>
    <row r="14" customFormat="false" ht="13.5" hidden="false" customHeight="true" outlineLevel="0" collapsed="false">
      <c r="B14" s="207"/>
      <c r="C14" s="207"/>
    </row>
    <row r="15" customFormat="false" ht="14.25" hidden="false" customHeight="false" outlineLevel="0" collapsed="false">
      <c r="B15" s="191" t="s">
        <v>227</v>
      </c>
      <c r="C15" s="192"/>
    </row>
    <row r="16" customFormat="false" ht="15.75" hidden="false" customHeight="false" outlineLevel="0" collapsed="false">
      <c r="B16" s="210" t="s">
        <v>228</v>
      </c>
      <c r="C16" s="192" t="n">
        <f aca="false">C7*(1+C11)</f>
        <v>4243.8924</v>
      </c>
      <c r="D16" s="211"/>
      <c r="E16" s="211"/>
    </row>
    <row r="17" customFormat="false" ht="15.75" hidden="false" customHeight="false" outlineLevel="0" collapsed="false">
      <c r="B17" s="210" t="s">
        <v>229</v>
      </c>
      <c r="C17" s="192" t="n">
        <f aca="false">C7*(1+C13)</f>
        <v>4747.545</v>
      </c>
      <c r="D17" s="211"/>
      <c r="E17" s="211"/>
    </row>
    <row r="18" customFormat="false" ht="15.75" hidden="false" customHeight="false" outlineLevel="0" collapsed="false">
      <c r="B18" s="210" t="s">
        <v>230</v>
      </c>
      <c r="C18" s="212" t="n">
        <f aca="false">C16*(1+C10)/(220*(1+C11))</f>
        <v>24.200595</v>
      </c>
      <c r="D18" s="213"/>
      <c r="E18" s="211"/>
    </row>
    <row r="19" customFormat="false" ht="15.75" hidden="false" customHeight="false" outlineLevel="0" collapsed="false">
      <c r="B19" s="210" t="s">
        <v>231</v>
      </c>
      <c r="C19" s="212" t="n">
        <f aca="false">(C17*(1+C12)/(220*(1+C13)))</f>
        <v>27.067887</v>
      </c>
      <c r="D19" s="213"/>
      <c r="E19" s="211"/>
    </row>
    <row r="21" customFormat="false" ht="14.25" hidden="false" customHeight="false" outlineLevel="0" collapsed="false">
      <c r="B21" s="181" t="s">
        <v>232</v>
      </c>
    </row>
    <row r="22" customFormat="false" ht="73.5" hidden="false" customHeight="true" outlineLevel="0" collapsed="false"/>
    <row r="23" customFormat="false" ht="34.5" hidden="false" customHeight="true" outlineLevel="0" collapsed="false">
      <c r="B23" s="196" t="s">
        <v>196</v>
      </c>
      <c r="C23" s="196"/>
    </row>
    <row r="24" customFormat="false" ht="33.75" hidden="false" customHeight="true" outlineLevel="0" collapsed="false">
      <c r="B24" s="216" t="s">
        <v>233</v>
      </c>
      <c r="C24" s="216"/>
    </row>
    <row r="25" customFormat="false" ht="30" hidden="false" customHeight="true" outlineLevel="0" collapsed="false">
      <c r="B25" s="217" t="s">
        <v>239</v>
      </c>
      <c r="C25" s="217"/>
    </row>
  </sheetData>
  <mergeCells count="3">
    <mergeCell ref="B23:C23"/>
    <mergeCell ref="B24:C24"/>
    <mergeCell ref="B25:C2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2"/>
  <sheetViews>
    <sheetView showFormulas="false" showGridLines="fals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G15" activeCellId="0" sqref="G15"/>
    </sheetView>
  </sheetViews>
  <sheetFormatPr defaultColWidth="8.125" defaultRowHeight="14.25" zeroHeight="false" outlineLevelRow="0" outlineLevelCol="0"/>
  <cols>
    <col collapsed="false" customWidth="true" hidden="false" outlineLevel="0" max="1" min="1" style="218" width="5.62"/>
    <col collapsed="false" customWidth="true" hidden="false" outlineLevel="0" max="2" min="2" style="218" width="2.88"/>
    <col collapsed="false" customWidth="true" hidden="false" outlineLevel="0" max="3" min="3" style="218" width="11.75"/>
    <col collapsed="false" customWidth="true" hidden="false" outlineLevel="0" max="4" min="4" style="218" width="57.75"/>
    <col collapsed="false" customWidth="true" hidden="false" outlineLevel="0" max="5" min="5" style="218" width="28.88"/>
    <col collapsed="false" customWidth="true" hidden="false" outlineLevel="0" max="6" min="6" style="218" width="9.62"/>
    <col collapsed="false" customWidth="true" hidden="false" outlineLevel="0" max="7" min="7" style="218" width="13.25"/>
    <col collapsed="false" customWidth="true" hidden="false" outlineLevel="0" max="8" min="8" style="218" width="11.5"/>
    <col collapsed="false" customWidth="true" hidden="false" outlineLevel="0" max="9" min="9" style="218" width="13.5"/>
    <col collapsed="false" customWidth="true" hidden="false" outlineLevel="0" max="1026" min="10" style="218" width="8.2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19" t="s">
        <v>240</v>
      </c>
      <c r="C2" s="219"/>
      <c r="D2" s="219"/>
      <c r="E2" s="219"/>
      <c r="F2" s="219"/>
      <c r="G2" s="219"/>
      <c r="H2" s="219"/>
      <c r="I2" s="219"/>
    </row>
    <row r="3" customFormat="false" ht="21" hidden="false" customHeight="true" outlineLevel="0" collapsed="false"/>
    <row r="4" customFormat="false" ht="16.5" hidden="false" customHeight="true" outlineLevel="0" collapsed="false">
      <c r="B4" s="220" t="s">
        <v>241</v>
      </c>
      <c r="C4" s="220"/>
      <c r="D4" s="220"/>
      <c r="E4" s="220"/>
      <c r="F4" s="220"/>
      <c r="G4" s="220"/>
      <c r="H4" s="220"/>
      <c r="I4" s="220"/>
    </row>
    <row r="5" customFormat="false" ht="16.5" hidden="false" customHeight="true" outlineLevel="0" collapsed="false">
      <c r="B5" s="221" t="s">
        <v>152</v>
      </c>
      <c r="C5" s="221"/>
      <c r="D5" s="222" t="n">
        <v>88264</v>
      </c>
      <c r="E5" s="222"/>
      <c r="F5" s="222"/>
      <c r="G5" s="222"/>
      <c r="H5" s="222"/>
      <c r="I5" s="222"/>
    </row>
    <row r="6" customFormat="false" ht="16.5" hidden="false" customHeight="true" outlineLevel="0" collapsed="false">
      <c r="B6" s="221" t="s">
        <v>122</v>
      </c>
      <c r="C6" s="221"/>
      <c r="D6" s="222" t="s">
        <v>242</v>
      </c>
      <c r="E6" s="222"/>
      <c r="F6" s="222"/>
      <c r="G6" s="222"/>
      <c r="H6" s="222"/>
      <c r="I6" s="222"/>
    </row>
    <row r="7" customFormat="false" ht="16.5" hidden="false" customHeight="true" outlineLevel="0" collapsed="false">
      <c r="B7" s="221" t="s">
        <v>155</v>
      </c>
      <c r="C7" s="221"/>
      <c r="D7" s="223" t="s">
        <v>156</v>
      </c>
      <c r="E7" s="223"/>
      <c r="F7" s="223"/>
      <c r="G7" s="223"/>
      <c r="H7" s="223"/>
      <c r="I7" s="223"/>
    </row>
    <row r="8" customFormat="false" ht="16.5" hidden="false" customHeight="true" outlineLevel="0" collapsed="false">
      <c r="B8" s="221" t="s">
        <v>157</v>
      </c>
      <c r="C8" s="221"/>
      <c r="D8" s="222" t="s">
        <v>182</v>
      </c>
      <c r="E8" s="222"/>
      <c r="F8" s="222"/>
      <c r="G8" s="222"/>
      <c r="H8" s="222"/>
      <c r="I8" s="222"/>
    </row>
    <row r="9" customFormat="false" ht="16.5" hidden="false" customHeight="true" outlineLevel="0" collapsed="false">
      <c r="B9" s="221" t="s">
        <v>159</v>
      </c>
      <c r="C9" s="221"/>
      <c r="D9" s="222" t="s">
        <v>200</v>
      </c>
      <c r="E9" s="222"/>
      <c r="F9" s="222"/>
      <c r="G9" s="222"/>
      <c r="H9" s="222"/>
      <c r="I9" s="222"/>
    </row>
    <row r="10" customFormat="false" ht="16.5" hidden="false" customHeight="true" outlineLevel="0" collapsed="false">
      <c r="B10" s="221" t="s">
        <v>123</v>
      </c>
      <c r="C10" s="221"/>
      <c r="D10" s="222" t="s">
        <v>168</v>
      </c>
      <c r="E10" s="222"/>
      <c r="F10" s="222"/>
      <c r="G10" s="222"/>
      <c r="H10" s="222"/>
      <c r="I10" s="222"/>
    </row>
    <row r="11" customFormat="false" ht="23.25" hidden="false" customHeight="true" outlineLevel="0" collapsed="false">
      <c r="B11" s="224" t="s">
        <v>161</v>
      </c>
      <c r="C11" s="224"/>
      <c r="D11" s="225" t="n">
        <f aca="false">SUM(I14:I22)</f>
        <v>34.2904</v>
      </c>
      <c r="E11" s="225"/>
      <c r="F11" s="225"/>
      <c r="G11" s="225"/>
      <c r="H11" s="225"/>
      <c r="I11" s="225"/>
    </row>
    <row r="12" customFormat="false" ht="15.75" hidden="false" customHeight="true" outlineLevel="0" collapsed="false">
      <c r="B12" s="226"/>
      <c r="C12" s="226"/>
      <c r="D12" s="227"/>
      <c r="E12" s="227"/>
      <c r="F12" s="227"/>
      <c r="G12" s="227"/>
      <c r="H12" s="227"/>
      <c r="I12" s="227"/>
    </row>
    <row r="13" customFormat="false" ht="45" hidden="false" customHeight="false" outlineLevel="0" collapsed="false">
      <c r="B13" s="176"/>
      <c r="C13" s="176" t="s">
        <v>162</v>
      </c>
      <c r="D13" s="176" t="s">
        <v>122</v>
      </c>
      <c r="E13" s="176" t="s">
        <v>159</v>
      </c>
      <c r="F13" s="176" t="s">
        <v>123</v>
      </c>
      <c r="G13" s="176" t="s">
        <v>163</v>
      </c>
      <c r="H13" s="176" t="s">
        <v>164</v>
      </c>
      <c r="I13" s="175" t="s">
        <v>161</v>
      </c>
    </row>
    <row r="14" customFormat="false" ht="27.75" hidden="false" customHeight="true" outlineLevel="0" collapsed="false">
      <c r="B14" s="228" t="s">
        <v>165</v>
      </c>
      <c r="C14" s="228" t="n">
        <v>95332</v>
      </c>
      <c r="D14" s="228" t="s">
        <v>243</v>
      </c>
      <c r="E14" s="228" t="s">
        <v>200</v>
      </c>
      <c r="F14" s="228" t="s">
        <v>168</v>
      </c>
      <c r="G14" s="177" t="n">
        <v>1.33</v>
      </c>
      <c r="H14" s="229" t="n">
        <v>1</v>
      </c>
      <c r="I14" s="230" t="n">
        <f aca="false">G14*H14</f>
        <v>1.33</v>
      </c>
      <c r="J14" s="231"/>
      <c r="K14" s="231"/>
    </row>
    <row r="15" customFormat="false" ht="32.25" hidden="false" customHeight="true" outlineLevel="0" collapsed="false">
      <c r="B15" s="228" t="s">
        <v>201</v>
      </c>
      <c r="C15" s="228" t="s">
        <v>244</v>
      </c>
      <c r="D15" s="228" t="s">
        <v>245</v>
      </c>
      <c r="E15" s="228" t="s">
        <v>206</v>
      </c>
      <c r="F15" s="228" t="s">
        <v>168</v>
      </c>
      <c r="G15" s="201" t="n">
        <f aca="false">'Custo Oficial de Manutenção SC'!C19</f>
        <v>28.4004</v>
      </c>
      <c r="H15" s="229" t="n">
        <v>1</v>
      </c>
      <c r="I15" s="230" t="n">
        <f aca="false">G15*H15</f>
        <v>28.4004</v>
      </c>
      <c r="J15" s="231"/>
      <c r="K15" s="231"/>
    </row>
    <row r="16" customFormat="false" ht="42" hidden="false" customHeight="true" outlineLevel="0" collapsed="false">
      <c r="B16" s="228" t="s">
        <v>201</v>
      </c>
      <c r="C16" s="228" t="n">
        <v>37370</v>
      </c>
      <c r="D16" s="228" t="s">
        <v>246</v>
      </c>
      <c r="E16" s="228" t="s">
        <v>209</v>
      </c>
      <c r="F16" s="228" t="s">
        <v>168</v>
      </c>
      <c r="G16" s="177" t="n">
        <v>0.01</v>
      </c>
      <c r="H16" s="229" t="n">
        <v>1</v>
      </c>
      <c r="I16" s="230" t="n">
        <f aca="false">G16*H16</f>
        <v>0.01</v>
      </c>
      <c r="J16" s="231"/>
      <c r="K16" s="231"/>
    </row>
    <row r="17" customFormat="false" ht="27.75" hidden="false" customHeight="true" outlineLevel="0" collapsed="false">
      <c r="B17" s="228" t="s">
        <v>201</v>
      </c>
      <c r="C17" s="228" t="n">
        <v>37371</v>
      </c>
      <c r="D17" s="228" t="s">
        <v>247</v>
      </c>
      <c r="E17" s="228" t="s">
        <v>248</v>
      </c>
      <c r="F17" s="228" t="s">
        <v>168</v>
      </c>
      <c r="G17" s="177" t="n">
        <v>0.61</v>
      </c>
      <c r="H17" s="229" t="n">
        <v>1</v>
      </c>
      <c r="I17" s="230" t="n">
        <f aca="false">G17*H17</f>
        <v>0.61</v>
      </c>
      <c r="J17" s="231"/>
      <c r="K17" s="231"/>
    </row>
    <row r="18" customFormat="false" ht="42" hidden="false" customHeight="true" outlineLevel="0" collapsed="false">
      <c r="B18" s="228" t="s">
        <v>201</v>
      </c>
      <c r="C18" s="228" t="n">
        <v>37372</v>
      </c>
      <c r="D18" s="228" t="s">
        <v>208</v>
      </c>
      <c r="E18" s="228" t="s">
        <v>209</v>
      </c>
      <c r="F18" s="228" t="s">
        <v>168</v>
      </c>
      <c r="G18" s="177" t="n">
        <v>1.43</v>
      </c>
      <c r="H18" s="229" t="n">
        <v>1</v>
      </c>
      <c r="I18" s="230" t="n">
        <f aca="false">G18*H18</f>
        <v>1.43</v>
      </c>
      <c r="J18" s="231"/>
      <c r="K18" s="231"/>
    </row>
    <row r="19" customFormat="false" ht="27.75" hidden="false" customHeight="true" outlineLevel="0" collapsed="false">
      <c r="B19" s="228" t="s">
        <v>201</v>
      </c>
      <c r="C19" s="228" t="n">
        <v>37373</v>
      </c>
      <c r="D19" s="228" t="s">
        <v>211</v>
      </c>
      <c r="E19" s="228" t="s">
        <v>212</v>
      </c>
      <c r="F19" s="228" t="s">
        <v>168</v>
      </c>
      <c r="G19" s="177" t="n">
        <v>0.08</v>
      </c>
      <c r="H19" s="229" t="n">
        <v>1</v>
      </c>
      <c r="I19" s="230" t="n">
        <f aca="false">G19*H19</f>
        <v>0.08</v>
      </c>
      <c r="J19" s="231"/>
      <c r="K19" s="231"/>
    </row>
    <row r="20" customFormat="false" ht="27.75" hidden="false" customHeight="true" outlineLevel="0" collapsed="false">
      <c r="B20" s="228" t="s">
        <v>201</v>
      </c>
      <c r="C20" s="228" t="n">
        <v>43460</v>
      </c>
      <c r="D20" s="228" t="s">
        <v>249</v>
      </c>
      <c r="E20" s="228" t="s">
        <v>215</v>
      </c>
      <c r="F20" s="228" t="s">
        <v>168</v>
      </c>
      <c r="G20" s="177" t="n">
        <v>0.86</v>
      </c>
      <c r="H20" s="229" t="n">
        <v>1</v>
      </c>
      <c r="I20" s="230" t="n">
        <f aca="false">G20*H20</f>
        <v>0.86</v>
      </c>
      <c r="J20" s="231"/>
      <c r="K20" s="231"/>
    </row>
    <row r="21" customFormat="false" ht="29.25" hidden="false" customHeight="true" outlineLevel="0" collapsed="false">
      <c r="B21" s="232" t="s">
        <v>201</v>
      </c>
      <c r="C21" s="232" t="n">
        <v>43461</v>
      </c>
      <c r="D21" s="232" t="s">
        <v>250</v>
      </c>
      <c r="E21" s="232" t="s">
        <v>215</v>
      </c>
      <c r="F21" s="232" t="s">
        <v>168</v>
      </c>
      <c r="G21" s="233" t="n">
        <v>0.31</v>
      </c>
      <c r="H21" s="234" t="n">
        <v>1</v>
      </c>
      <c r="I21" s="235" t="n">
        <f aca="false">G21*H21</f>
        <v>0.31</v>
      </c>
      <c r="J21" s="231"/>
      <c r="K21" s="231"/>
    </row>
    <row r="22" customFormat="false" ht="27.75" hidden="false" customHeight="true" outlineLevel="0" collapsed="false">
      <c r="B22" s="228" t="s">
        <v>201</v>
      </c>
      <c r="C22" s="228" t="n">
        <v>43484</v>
      </c>
      <c r="D22" s="228" t="s">
        <v>251</v>
      </c>
      <c r="E22" s="228" t="s">
        <v>215</v>
      </c>
      <c r="F22" s="228" t="s">
        <v>168</v>
      </c>
      <c r="G22" s="179" t="n">
        <v>1.26</v>
      </c>
      <c r="H22" s="229" t="n">
        <v>1</v>
      </c>
      <c r="I22" s="230" t="n">
        <f aca="false">G22*H22</f>
        <v>1.26</v>
      </c>
      <c r="J22" s="231"/>
      <c r="K22" s="231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K22"/>
  <sheetViews>
    <sheetView showFormulas="false" showGridLines="fals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I15" activeCellId="0" sqref="I15"/>
    </sheetView>
  </sheetViews>
  <sheetFormatPr defaultColWidth="8.125" defaultRowHeight="14.25" zeroHeight="false" outlineLevelRow="0" outlineLevelCol="0"/>
  <cols>
    <col collapsed="false" customWidth="true" hidden="false" outlineLevel="0" max="1" min="1" style="218" width="5.62"/>
    <col collapsed="false" customWidth="true" hidden="false" outlineLevel="0" max="2" min="2" style="218" width="2.88"/>
    <col collapsed="false" customWidth="true" hidden="false" outlineLevel="0" max="3" min="3" style="218" width="11.75"/>
    <col collapsed="false" customWidth="true" hidden="false" outlineLevel="0" max="4" min="4" style="218" width="57.75"/>
    <col collapsed="false" customWidth="true" hidden="false" outlineLevel="0" max="5" min="5" style="218" width="28.88"/>
    <col collapsed="false" customWidth="true" hidden="false" outlineLevel="0" max="6" min="6" style="218" width="9.62"/>
    <col collapsed="false" customWidth="true" hidden="false" outlineLevel="0" max="7" min="7" style="218" width="13.25"/>
    <col collapsed="false" customWidth="true" hidden="false" outlineLevel="0" max="8" min="8" style="218" width="11.5"/>
    <col collapsed="false" customWidth="true" hidden="false" outlineLevel="0" max="9" min="9" style="218" width="13.5"/>
    <col collapsed="false" customWidth="true" hidden="false" outlineLevel="0" max="1026" min="10" style="218" width="8.2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219" t="s">
        <v>240</v>
      </c>
      <c r="C2" s="219"/>
      <c r="D2" s="219"/>
      <c r="E2" s="219"/>
      <c r="F2" s="219"/>
      <c r="G2" s="219"/>
      <c r="H2" s="219"/>
      <c r="I2" s="219"/>
    </row>
    <row r="3" customFormat="false" ht="21" hidden="false" customHeight="true" outlineLevel="0" collapsed="false"/>
    <row r="4" customFormat="false" ht="16.5" hidden="false" customHeight="true" outlineLevel="0" collapsed="false">
      <c r="B4" s="220" t="s">
        <v>241</v>
      </c>
      <c r="C4" s="220"/>
      <c r="D4" s="220"/>
      <c r="E4" s="220"/>
      <c r="F4" s="220"/>
      <c r="G4" s="220"/>
      <c r="H4" s="220"/>
      <c r="I4" s="220"/>
    </row>
    <row r="5" customFormat="false" ht="16.5" hidden="false" customHeight="true" outlineLevel="0" collapsed="false">
      <c r="B5" s="221" t="s">
        <v>152</v>
      </c>
      <c r="C5" s="221"/>
      <c r="D5" s="222" t="n">
        <v>88264</v>
      </c>
      <c r="E5" s="222"/>
      <c r="F5" s="222"/>
      <c r="G5" s="222"/>
      <c r="H5" s="222"/>
      <c r="I5" s="222"/>
    </row>
    <row r="6" customFormat="false" ht="16.5" hidden="false" customHeight="true" outlineLevel="0" collapsed="false">
      <c r="B6" s="221" t="s">
        <v>122</v>
      </c>
      <c r="C6" s="221"/>
      <c r="D6" s="222" t="s">
        <v>242</v>
      </c>
      <c r="E6" s="222"/>
      <c r="F6" s="222"/>
      <c r="G6" s="222"/>
      <c r="H6" s="222"/>
      <c r="I6" s="222"/>
    </row>
    <row r="7" customFormat="false" ht="16.5" hidden="false" customHeight="true" outlineLevel="0" collapsed="false">
      <c r="B7" s="221" t="s">
        <v>155</v>
      </c>
      <c r="C7" s="221"/>
      <c r="D7" s="223" t="s">
        <v>156</v>
      </c>
      <c r="E7" s="223"/>
      <c r="F7" s="223"/>
      <c r="G7" s="223"/>
      <c r="H7" s="223"/>
      <c r="I7" s="223"/>
    </row>
    <row r="8" customFormat="false" ht="16.5" hidden="false" customHeight="true" outlineLevel="0" collapsed="false">
      <c r="B8" s="221" t="s">
        <v>157</v>
      </c>
      <c r="C8" s="221"/>
      <c r="D8" s="222" t="s">
        <v>235</v>
      </c>
      <c r="E8" s="222"/>
      <c r="F8" s="222"/>
      <c r="G8" s="222"/>
      <c r="H8" s="222"/>
      <c r="I8" s="222"/>
    </row>
    <row r="9" customFormat="false" ht="16.5" hidden="false" customHeight="true" outlineLevel="0" collapsed="false">
      <c r="B9" s="221" t="s">
        <v>159</v>
      </c>
      <c r="C9" s="221"/>
      <c r="D9" s="222" t="s">
        <v>200</v>
      </c>
      <c r="E9" s="222"/>
      <c r="F9" s="222"/>
      <c r="G9" s="222"/>
      <c r="H9" s="222"/>
      <c r="I9" s="222"/>
    </row>
    <row r="10" customFormat="false" ht="16.5" hidden="false" customHeight="true" outlineLevel="0" collapsed="false">
      <c r="B10" s="221" t="s">
        <v>123</v>
      </c>
      <c r="C10" s="221"/>
      <c r="D10" s="222" t="s">
        <v>168</v>
      </c>
      <c r="E10" s="222"/>
      <c r="F10" s="222"/>
      <c r="G10" s="222"/>
      <c r="H10" s="222"/>
      <c r="I10" s="222"/>
    </row>
    <row r="11" customFormat="false" ht="23.25" hidden="false" customHeight="true" outlineLevel="0" collapsed="false">
      <c r="B11" s="224" t="s">
        <v>161</v>
      </c>
      <c r="C11" s="224"/>
      <c r="D11" s="225" t="n">
        <f aca="false">SUM(I14:I22)</f>
        <v>34.820595</v>
      </c>
      <c r="E11" s="225"/>
      <c r="F11" s="225"/>
      <c r="G11" s="225"/>
      <c r="H11" s="225"/>
      <c r="I11" s="225"/>
    </row>
    <row r="12" customFormat="false" ht="15.75" hidden="false" customHeight="true" outlineLevel="0" collapsed="false">
      <c r="B12" s="226"/>
      <c r="C12" s="226"/>
      <c r="D12" s="227"/>
      <c r="E12" s="227"/>
      <c r="F12" s="227"/>
      <c r="G12" s="227"/>
      <c r="H12" s="227"/>
      <c r="I12" s="227"/>
    </row>
    <row r="13" customFormat="false" ht="45" hidden="false" customHeight="false" outlineLevel="0" collapsed="false">
      <c r="B13" s="176"/>
      <c r="C13" s="176" t="s">
        <v>162</v>
      </c>
      <c r="D13" s="176" t="s">
        <v>122</v>
      </c>
      <c r="E13" s="176" t="s">
        <v>159</v>
      </c>
      <c r="F13" s="176" t="s">
        <v>123</v>
      </c>
      <c r="G13" s="176" t="s">
        <v>163</v>
      </c>
      <c r="H13" s="176" t="s">
        <v>164</v>
      </c>
      <c r="I13" s="175" t="s">
        <v>161</v>
      </c>
    </row>
    <row r="14" customFormat="false" ht="27.75" hidden="false" customHeight="true" outlineLevel="0" collapsed="false">
      <c r="B14" s="228" t="s">
        <v>165</v>
      </c>
      <c r="C14" s="228" t="n">
        <v>95332</v>
      </c>
      <c r="D14" s="228" t="s">
        <v>243</v>
      </c>
      <c r="E14" s="228" t="s">
        <v>200</v>
      </c>
      <c r="F14" s="228" t="s">
        <v>168</v>
      </c>
      <c r="G14" s="179" t="n">
        <v>1</v>
      </c>
      <c r="H14" s="229" t="n">
        <v>1</v>
      </c>
      <c r="I14" s="230" t="n">
        <f aca="false">G14*H14</f>
        <v>1</v>
      </c>
      <c r="J14" s="231"/>
      <c r="K14" s="231"/>
    </row>
    <row r="15" customFormat="false" ht="32.25" hidden="false" customHeight="true" outlineLevel="0" collapsed="false">
      <c r="B15" s="228" t="s">
        <v>201</v>
      </c>
      <c r="C15" s="228" t="s">
        <v>244</v>
      </c>
      <c r="D15" s="228" t="s">
        <v>252</v>
      </c>
      <c r="E15" s="228" t="s">
        <v>206</v>
      </c>
      <c r="F15" s="228" t="s">
        <v>168</v>
      </c>
      <c r="G15" s="179" t="n">
        <f aca="false">'Custo Oficial de Manutenção PR'!C18</f>
        <v>24.200595</v>
      </c>
      <c r="H15" s="229" t="n">
        <v>1</v>
      </c>
      <c r="I15" s="230" t="n">
        <f aca="false">G15*H15</f>
        <v>24.200595</v>
      </c>
      <c r="J15" s="231"/>
      <c r="K15" s="231"/>
    </row>
    <row r="16" customFormat="false" ht="42" hidden="false" customHeight="true" outlineLevel="0" collapsed="false">
      <c r="B16" s="228" t="s">
        <v>201</v>
      </c>
      <c r="C16" s="228" t="n">
        <v>37370</v>
      </c>
      <c r="D16" s="228" t="s">
        <v>246</v>
      </c>
      <c r="E16" s="228" t="s">
        <v>209</v>
      </c>
      <c r="F16" s="228" t="s">
        <v>168</v>
      </c>
      <c r="G16" s="177" t="n">
        <v>4.76</v>
      </c>
      <c r="H16" s="229" t="n">
        <v>1</v>
      </c>
      <c r="I16" s="230" t="n">
        <f aca="false">G16*H16</f>
        <v>4.76</v>
      </c>
      <c r="J16" s="231"/>
      <c r="K16" s="231"/>
    </row>
    <row r="17" customFormat="false" ht="27.75" hidden="false" customHeight="true" outlineLevel="0" collapsed="false">
      <c r="B17" s="228" t="s">
        <v>201</v>
      </c>
      <c r="C17" s="228" t="n">
        <v>37371</v>
      </c>
      <c r="D17" s="228" t="s">
        <v>247</v>
      </c>
      <c r="E17" s="228" t="s">
        <v>248</v>
      </c>
      <c r="F17" s="228" t="s">
        <v>168</v>
      </c>
      <c r="G17" s="177" t="n">
        <v>0.92</v>
      </c>
      <c r="H17" s="229" t="n">
        <v>1</v>
      </c>
      <c r="I17" s="230" t="n">
        <f aca="false">G17*H17</f>
        <v>0.92</v>
      </c>
      <c r="J17" s="231"/>
      <c r="K17" s="231"/>
    </row>
    <row r="18" customFormat="false" ht="42" hidden="false" customHeight="true" outlineLevel="0" collapsed="false">
      <c r="B18" s="228" t="s">
        <v>201</v>
      </c>
      <c r="C18" s="228" t="n">
        <v>37372</v>
      </c>
      <c r="D18" s="228" t="s">
        <v>208</v>
      </c>
      <c r="E18" s="228" t="s">
        <v>209</v>
      </c>
      <c r="F18" s="228" t="s">
        <v>168</v>
      </c>
      <c r="G18" s="177" t="n">
        <v>1.43</v>
      </c>
      <c r="H18" s="229" t="n">
        <v>1</v>
      </c>
      <c r="I18" s="230" t="n">
        <f aca="false">G18*H18</f>
        <v>1.43</v>
      </c>
      <c r="J18" s="231"/>
      <c r="K18" s="231"/>
    </row>
    <row r="19" customFormat="false" ht="27.75" hidden="false" customHeight="true" outlineLevel="0" collapsed="false">
      <c r="B19" s="228" t="s">
        <v>201</v>
      </c>
      <c r="C19" s="228" t="n">
        <v>37373</v>
      </c>
      <c r="D19" s="228" t="s">
        <v>211</v>
      </c>
      <c r="E19" s="228" t="s">
        <v>212</v>
      </c>
      <c r="F19" s="228" t="s">
        <v>168</v>
      </c>
      <c r="G19" s="177" t="n">
        <v>0.08</v>
      </c>
      <c r="H19" s="229" t="n">
        <v>1</v>
      </c>
      <c r="I19" s="230" t="n">
        <f aca="false">G19*H19</f>
        <v>0.08</v>
      </c>
      <c r="J19" s="231"/>
      <c r="K19" s="231"/>
    </row>
    <row r="20" customFormat="false" ht="27.75" hidden="false" customHeight="true" outlineLevel="0" collapsed="false">
      <c r="B20" s="228" t="s">
        <v>201</v>
      </c>
      <c r="C20" s="228" t="n">
        <v>43460</v>
      </c>
      <c r="D20" s="228" t="s">
        <v>249</v>
      </c>
      <c r="E20" s="228" t="s">
        <v>215</v>
      </c>
      <c r="F20" s="228" t="s">
        <v>168</v>
      </c>
      <c r="G20" s="177" t="n">
        <v>0.86</v>
      </c>
      <c r="H20" s="229" t="n">
        <v>1</v>
      </c>
      <c r="I20" s="230" t="n">
        <f aca="false">G20*H20</f>
        <v>0.86</v>
      </c>
      <c r="J20" s="231"/>
      <c r="K20" s="231"/>
    </row>
    <row r="21" customFormat="false" ht="29.25" hidden="false" customHeight="true" outlineLevel="0" collapsed="false">
      <c r="B21" s="232" t="s">
        <v>201</v>
      </c>
      <c r="C21" s="232" t="n">
        <v>43461</v>
      </c>
      <c r="D21" s="232" t="s">
        <v>250</v>
      </c>
      <c r="E21" s="232" t="s">
        <v>215</v>
      </c>
      <c r="F21" s="232" t="s">
        <v>168</v>
      </c>
      <c r="G21" s="233" t="n">
        <v>0.31</v>
      </c>
      <c r="H21" s="234" t="n">
        <v>1</v>
      </c>
      <c r="I21" s="235" t="n">
        <f aca="false">G21*H21</f>
        <v>0.31</v>
      </c>
      <c r="J21" s="231"/>
      <c r="K21" s="231"/>
    </row>
    <row r="22" customFormat="false" ht="27.75" hidden="false" customHeight="true" outlineLevel="0" collapsed="false">
      <c r="B22" s="228" t="s">
        <v>201</v>
      </c>
      <c r="C22" s="228" t="n">
        <v>43484</v>
      </c>
      <c r="D22" s="228" t="s">
        <v>251</v>
      </c>
      <c r="E22" s="228" t="s">
        <v>215</v>
      </c>
      <c r="F22" s="228" t="s">
        <v>168</v>
      </c>
      <c r="G22" s="179" t="n">
        <v>1.26</v>
      </c>
      <c r="H22" s="229" t="n">
        <v>1</v>
      </c>
      <c r="I22" s="230" t="n">
        <f aca="false">G22*H22</f>
        <v>1.26</v>
      </c>
      <c r="J22" s="231"/>
      <c r="K22" s="231"/>
    </row>
  </sheetData>
  <mergeCells count="16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Roman,Normal"&amp;12&amp;KffffffPágina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N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5" activeCellId="0" sqref="J25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15.5"/>
    <col collapsed="false" customWidth="true" hidden="false" outlineLevel="0" max="3" min="3" style="17" width="16.26"/>
    <col collapsed="false" customWidth="true" hidden="false" outlineLevel="0" max="4" min="4" style="16" width="31.88"/>
    <col collapsed="false" customWidth="true" hidden="false" outlineLevel="0" max="5" min="5" style="16" width="36.88"/>
    <col collapsed="false" customWidth="true" hidden="false" outlineLevel="0" max="6" min="6" style="17" width="15.26"/>
    <col collapsed="false" customWidth="true" hidden="false" outlineLevel="0" max="7" min="7" style="16" width="9"/>
    <col collapsed="false" customWidth="true" hidden="false" outlineLevel="0" max="8" min="8" style="16" width="9.12"/>
    <col collapsed="false" customWidth="true" hidden="false" outlineLevel="0" max="9" min="9" style="16" width="12"/>
    <col collapsed="false" customWidth="true" hidden="false" outlineLevel="0" max="11" min="10" style="16" width="11.25"/>
    <col collapsed="false" customWidth="true" hidden="false" outlineLevel="0" max="12" min="12" style="16" width="10.38"/>
    <col collapsed="false" customWidth="true" hidden="false" outlineLevel="0" max="13" min="13" style="16" width="10.5"/>
    <col collapsed="false" customWidth="true" hidden="false" outlineLevel="0" max="14" min="14" style="16" width="12.5"/>
    <col collapsed="false" customWidth="true" hidden="false" outlineLevel="0" max="259" min="15" style="16" width="10.5"/>
    <col collapsed="false" customWidth="true" hidden="false" outlineLevel="0" max="1024" min="260" style="1" width="10.38"/>
  </cols>
  <sheetData>
    <row r="1" customFormat="false" ht="15" hidden="false" customHeight="true" outlineLevel="0" collapsed="false"/>
    <row r="2" s="236" customFormat="true" ht="29.25" hidden="false" customHeight="true" outlineLevel="0" collapsed="false">
      <c r="B2" s="237" t="str">
        <f aca="false">"RELAÇÃO DE UNIDADES DO "&amp;'Valor da Contratação'!B7&amp;""</f>
        <v>RELAÇÃO DE UNIDADES DO POLO VI</v>
      </c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</row>
    <row r="3" s="16" customFormat="true" ht="15" hidden="false" customHeight="true" outlineLevel="0" collapsed="false"/>
    <row r="4" customFormat="false" ht="66.75" hidden="false" customHeight="true" outlineLevel="0" collapsed="false">
      <c r="B4" s="32" t="s">
        <v>253</v>
      </c>
      <c r="C4" s="32" t="s">
        <v>13</v>
      </c>
      <c r="D4" s="32" t="s">
        <v>41</v>
      </c>
      <c r="E4" s="32" t="s">
        <v>254</v>
      </c>
      <c r="F4" s="32" t="s">
        <v>255</v>
      </c>
      <c r="G4" s="32" t="s">
        <v>256</v>
      </c>
      <c r="H4" s="32" t="s">
        <v>71</v>
      </c>
      <c r="I4" s="32" t="s">
        <v>257</v>
      </c>
      <c r="J4" s="32" t="s">
        <v>258</v>
      </c>
      <c r="K4" s="32" t="s">
        <v>259</v>
      </c>
      <c r="L4" s="32" t="s">
        <v>260</v>
      </c>
      <c r="M4" s="32" t="s">
        <v>261</v>
      </c>
      <c r="N4" s="32" t="s">
        <v>262</v>
      </c>
    </row>
    <row r="5" customFormat="false" ht="18" hidden="false" customHeight="true" outlineLevel="0" collapsed="false">
      <c r="B5" s="238" t="s">
        <v>263</v>
      </c>
      <c r="C5" s="238" t="s">
        <v>22</v>
      </c>
      <c r="D5" s="239" t="s">
        <v>138</v>
      </c>
      <c r="E5" s="240" t="s">
        <v>264</v>
      </c>
      <c r="F5" s="65" t="n">
        <f aca="false">31*2/60</f>
        <v>1.03333333333333</v>
      </c>
      <c r="G5" s="241" t="n">
        <v>0.05</v>
      </c>
      <c r="H5" s="241" t="n">
        <f aca="false">HLOOKUP(G5,BDI!$C$19:$J$30,12,)</f>
        <v>0.2624</v>
      </c>
      <c r="I5" s="242" t="n">
        <v>334.4</v>
      </c>
      <c r="J5" s="242" t="n">
        <v>296</v>
      </c>
      <c r="K5" s="242" t="n">
        <v>38.4</v>
      </c>
      <c r="L5" s="242" t="n">
        <v>0</v>
      </c>
      <c r="M5" s="242" t="s">
        <v>265</v>
      </c>
      <c r="N5" s="242" t="s">
        <v>265</v>
      </c>
    </row>
    <row r="6" customFormat="false" ht="18" hidden="false" customHeight="true" outlineLevel="0" collapsed="false">
      <c r="B6" s="238" t="s">
        <v>263</v>
      </c>
      <c r="C6" s="238" t="s">
        <v>22</v>
      </c>
      <c r="D6" s="239" t="s">
        <v>139</v>
      </c>
      <c r="E6" s="240" t="s">
        <v>266</v>
      </c>
      <c r="F6" s="65" t="n">
        <f aca="false">76*2/60</f>
        <v>2.53333333333333</v>
      </c>
      <c r="G6" s="241" t="n">
        <v>0.03</v>
      </c>
      <c r="H6" s="241" t="n">
        <f aca="false">HLOOKUP(G6,BDI!$C$19:$J$30,12,)</f>
        <v>0.2354</v>
      </c>
      <c r="I6" s="242" t="n">
        <v>170</v>
      </c>
      <c r="J6" s="242" t="n">
        <v>144.38</v>
      </c>
      <c r="K6" s="242" t="n">
        <v>25.62</v>
      </c>
      <c r="L6" s="242" t="n">
        <v>0</v>
      </c>
      <c r="M6" s="242" t="s">
        <v>265</v>
      </c>
      <c r="N6" s="242" t="s">
        <v>265</v>
      </c>
    </row>
    <row r="7" customFormat="false" ht="18" hidden="false" customHeight="true" outlineLevel="0" collapsed="false">
      <c r="B7" s="238" t="s">
        <v>263</v>
      </c>
      <c r="C7" s="238" t="s">
        <v>22</v>
      </c>
      <c r="D7" s="239" t="s">
        <v>140</v>
      </c>
      <c r="E7" s="243" t="s">
        <v>267</v>
      </c>
      <c r="F7" s="65" t="n">
        <v>1.95</v>
      </c>
      <c r="G7" s="241" t="n">
        <v>0.05</v>
      </c>
      <c r="H7" s="241" t="n">
        <f aca="false">HLOOKUP(G7,BDI!$C$19:$J$30,12,)</f>
        <v>0.2624</v>
      </c>
      <c r="I7" s="242" t="n">
        <v>2008</v>
      </c>
      <c r="J7" s="242" t="n">
        <v>1336.84</v>
      </c>
      <c r="K7" s="242" t="n">
        <v>589.62</v>
      </c>
      <c r="L7" s="242" t="n">
        <v>81.54</v>
      </c>
      <c r="M7" s="242" t="s">
        <v>268</v>
      </c>
      <c r="N7" s="242" t="s">
        <v>268</v>
      </c>
    </row>
    <row r="8" customFormat="false" ht="18" hidden="false" customHeight="true" outlineLevel="0" collapsed="false">
      <c r="B8" s="238" t="s">
        <v>263</v>
      </c>
      <c r="C8" s="238" t="s">
        <v>22</v>
      </c>
      <c r="D8" s="239" t="s">
        <v>141</v>
      </c>
      <c r="E8" s="243" t="s">
        <v>269</v>
      </c>
      <c r="F8" s="65" t="n">
        <f aca="false">70*2/60</f>
        <v>2.33333333333333</v>
      </c>
      <c r="G8" s="241" t="n">
        <v>0.03</v>
      </c>
      <c r="H8" s="241" t="n">
        <f aca="false">HLOOKUP(G8,BDI!$C$19:$J$30,12,)</f>
        <v>0.2354</v>
      </c>
      <c r="I8" s="242" t="n">
        <v>225.98</v>
      </c>
      <c r="J8" s="242" t="n">
        <v>176.31</v>
      </c>
      <c r="K8" s="242" t="n">
        <v>43.59</v>
      </c>
      <c r="L8" s="242" t="n">
        <v>6.08</v>
      </c>
      <c r="M8" s="242" t="s">
        <v>265</v>
      </c>
      <c r="N8" s="242" t="s">
        <v>265</v>
      </c>
    </row>
    <row r="9" customFormat="false" ht="18" hidden="false" customHeight="true" outlineLevel="0" collapsed="false">
      <c r="B9" s="238" t="s">
        <v>263</v>
      </c>
      <c r="C9" s="238" t="s">
        <v>22</v>
      </c>
      <c r="D9" s="239" t="s">
        <v>142</v>
      </c>
      <c r="E9" s="240" t="s">
        <v>270</v>
      </c>
      <c r="F9" s="65" t="n">
        <f aca="false">165/60</f>
        <v>2.75</v>
      </c>
      <c r="G9" s="241" t="n">
        <v>0.03</v>
      </c>
      <c r="H9" s="241" t="n">
        <f aca="false">HLOOKUP(G9,BDI!$C$19:$J$30,12,)</f>
        <v>0.2354</v>
      </c>
      <c r="I9" s="242" t="n">
        <v>344.88</v>
      </c>
      <c r="J9" s="242" t="n">
        <v>297.31</v>
      </c>
      <c r="K9" s="242" t="n">
        <v>47.57</v>
      </c>
      <c r="L9" s="242" t="n">
        <v>0</v>
      </c>
      <c r="M9" s="242" t="s">
        <v>265</v>
      </c>
      <c r="N9" s="242" t="s">
        <v>265</v>
      </c>
    </row>
    <row r="10" customFormat="false" ht="18" hidden="false" customHeight="true" outlineLevel="0" collapsed="false">
      <c r="B10" s="238" t="s">
        <v>263</v>
      </c>
      <c r="C10" s="238" t="s">
        <v>22</v>
      </c>
      <c r="D10" s="239" t="s">
        <v>143</v>
      </c>
      <c r="E10" s="240" t="s">
        <v>271</v>
      </c>
      <c r="F10" s="65" t="n">
        <v>0</v>
      </c>
      <c r="G10" s="241" t="n">
        <v>0.02</v>
      </c>
      <c r="H10" s="241" t="n">
        <f aca="false">HLOOKUP(G10,BDI!$C$19:$J$30,12,)</f>
        <v>0.2223</v>
      </c>
      <c r="I10" s="242" t="n">
        <v>2008</v>
      </c>
      <c r="J10" s="242" t="n">
        <v>1400.93</v>
      </c>
      <c r="K10" s="242" t="n">
        <v>459.75</v>
      </c>
      <c r="L10" s="242" t="n">
        <v>147.32</v>
      </c>
      <c r="M10" s="242" t="s">
        <v>268</v>
      </c>
      <c r="N10" s="242" t="s">
        <v>265</v>
      </c>
    </row>
    <row r="11" customFormat="false" ht="18" hidden="false" customHeight="true" outlineLevel="0" collapsed="false">
      <c r="B11" s="238" t="s">
        <v>263</v>
      </c>
      <c r="C11" s="238" t="s">
        <v>22</v>
      </c>
      <c r="D11" s="239" t="s">
        <v>144</v>
      </c>
      <c r="E11" s="240" t="s">
        <v>272</v>
      </c>
      <c r="F11" s="65" t="n">
        <f aca="false">113*2/60</f>
        <v>3.76666666666667</v>
      </c>
      <c r="G11" s="241" t="n">
        <v>0.03</v>
      </c>
      <c r="H11" s="241" t="n">
        <f aca="false">HLOOKUP(G11,BDI!$C$19:$J$30,12,)</f>
        <v>0.2354</v>
      </c>
      <c r="I11" s="242" t="n">
        <v>549</v>
      </c>
      <c r="J11" s="242" t="n">
        <v>314.44</v>
      </c>
      <c r="K11" s="242" t="n">
        <v>18.27</v>
      </c>
      <c r="L11" s="242" t="n">
        <v>216.29</v>
      </c>
      <c r="M11" s="242" t="s">
        <v>265</v>
      </c>
      <c r="N11" s="242" t="s">
        <v>265</v>
      </c>
    </row>
    <row r="12" customFormat="false" ht="18" hidden="false" customHeight="true" outlineLevel="0" collapsed="false">
      <c r="B12" s="238" t="s">
        <v>263</v>
      </c>
      <c r="C12" s="238" t="s">
        <v>22</v>
      </c>
      <c r="D12" s="239" t="s">
        <v>145</v>
      </c>
      <c r="E12" s="240" t="s">
        <v>273</v>
      </c>
      <c r="F12" s="65" t="n">
        <f aca="false">139*2/60</f>
        <v>4.63333333333333</v>
      </c>
      <c r="G12" s="241" t="n">
        <v>0.03</v>
      </c>
      <c r="H12" s="241" t="n">
        <f aca="false">HLOOKUP(G12,BDI!$C$19:$J$30,12,)</f>
        <v>0.2354</v>
      </c>
      <c r="I12" s="242" t="n">
        <v>373.64</v>
      </c>
      <c r="J12" s="242" t="n">
        <v>293.1</v>
      </c>
      <c r="K12" s="242" t="n">
        <v>80.54</v>
      </c>
      <c r="L12" s="242" t="n">
        <v>0</v>
      </c>
      <c r="M12" s="242" t="s">
        <v>265</v>
      </c>
      <c r="N12" s="242" t="s">
        <v>265</v>
      </c>
    </row>
    <row r="13" customFormat="false" ht="18" hidden="false" customHeight="true" outlineLevel="0" collapsed="false">
      <c r="B13" s="238" t="s">
        <v>21</v>
      </c>
      <c r="C13" s="238" t="s">
        <v>21</v>
      </c>
      <c r="D13" s="239" t="s">
        <v>81</v>
      </c>
      <c r="E13" s="240" t="s">
        <v>274</v>
      </c>
      <c r="F13" s="65" t="n">
        <f aca="false">406/60</f>
        <v>6.76666666666667</v>
      </c>
      <c r="G13" s="241" t="n">
        <v>0.02</v>
      </c>
      <c r="H13" s="241" t="n">
        <f aca="false">HLOOKUP(G13,BDI!$C$19:$J$30,12,)</f>
        <v>0.2223</v>
      </c>
      <c r="I13" s="242" t="n">
        <v>1776</v>
      </c>
      <c r="J13" s="242" t="n">
        <v>657</v>
      </c>
      <c r="K13" s="242" t="n">
        <v>577</v>
      </c>
      <c r="L13" s="242" t="n">
        <v>542</v>
      </c>
      <c r="M13" s="242" t="s">
        <v>265</v>
      </c>
      <c r="N13" s="242" t="s">
        <v>268</v>
      </c>
    </row>
    <row r="14" customFormat="false" ht="18" hidden="false" customHeight="true" outlineLevel="0" collapsed="false">
      <c r="B14" s="238" t="s">
        <v>21</v>
      </c>
      <c r="C14" s="238" t="s">
        <v>21</v>
      </c>
      <c r="D14" s="239" t="s">
        <v>83</v>
      </c>
      <c r="E14" s="240" t="s">
        <v>275</v>
      </c>
      <c r="F14" s="65" t="n">
        <f aca="false">191*2/60</f>
        <v>6.36666666666667</v>
      </c>
      <c r="G14" s="241" t="n">
        <v>0.05</v>
      </c>
      <c r="H14" s="241" t="n">
        <f aca="false">HLOOKUP(G14,BDI!$C$19:$J$30,12,)</f>
        <v>0.2624</v>
      </c>
      <c r="I14" s="242" t="n">
        <v>1387</v>
      </c>
      <c r="J14" s="242" t="n">
        <v>679</v>
      </c>
      <c r="K14" s="242" t="n">
        <v>79</v>
      </c>
      <c r="L14" s="242" t="n">
        <v>629</v>
      </c>
      <c r="M14" s="242" t="s">
        <v>268</v>
      </c>
      <c r="N14" s="242" t="s">
        <v>268</v>
      </c>
    </row>
    <row r="15" customFormat="false" ht="18" hidden="false" customHeight="true" outlineLevel="0" collapsed="false">
      <c r="B15" s="238" t="s">
        <v>21</v>
      </c>
      <c r="C15" s="238" t="s">
        <v>21</v>
      </c>
      <c r="D15" s="239" t="s">
        <v>85</v>
      </c>
      <c r="E15" s="240" t="s">
        <v>276</v>
      </c>
      <c r="F15" s="65" t="n">
        <f aca="false">168*2/60</f>
        <v>5.6</v>
      </c>
      <c r="G15" s="241" t="n">
        <v>0.02</v>
      </c>
      <c r="H15" s="241" t="n">
        <f aca="false">HLOOKUP(G15,BDI!$C$19:$J$30,12,)</f>
        <v>0.2223</v>
      </c>
      <c r="I15" s="242" t="n">
        <v>1189</v>
      </c>
      <c r="J15" s="242" t="n">
        <v>472</v>
      </c>
      <c r="K15" s="242" t="n">
        <v>42</v>
      </c>
      <c r="L15" s="242" t="n">
        <v>675</v>
      </c>
      <c r="M15" s="242" t="s">
        <v>268</v>
      </c>
      <c r="N15" s="242" t="s">
        <v>268</v>
      </c>
    </row>
    <row r="16" customFormat="false" ht="18" hidden="false" customHeight="true" outlineLevel="0" collapsed="false">
      <c r="B16" s="238" t="s">
        <v>21</v>
      </c>
      <c r="C16" s="238" t="s">
        <v>21</v>
      </c>
      <c r="D16" s="239" t="s">
        <v>86</v>
      </c>
      <c r="E16" s="240" t="s">
        <v>277</v>
      </c>
      <c r="F16" s="65" t="n">
        <f aca="false">4/60</f>
        <v>0.0666666666666667</v>
      </c>
      <c r="G16" s="241" t="n">
        <v>0.02</v>
      </c>
      <c r="H16" s="241" t="n">
        <f aca="false">HLOOKUP(G16,BDI!$C$19:$J$30,12,)</f>
        <v>0.2223</v>
      </c>
      <c r="I16" s="242" t="n">
        <v>3007</v>
      </c>
      <c r="J16" s="242" t="n">
        <v>770</v>
      </c>
      <c r="K16" s="242" t="n">
        <v>817</v>
      </c>
      <c r="L16" s="242" t="n">
        <v>1420</v>
      </c>
      <c r="M16" s="242" t="s">
        <v>268</v>
      </c>
      <c r="N16" s="242" t="s">
        <v>268</v>
      </c>
    </row>
    <row r="17" customFormat="false" ht="18" hidden="false" customHeight="true" outlineLevel="0" collapsed="false">
      <c r="B17" s="238" t="s">
        <v>21</v>
      </c>
      <c r="C17" s="238" t="s">
        <v>21</v>
      </c>
      <c r="D17" s="239" t="s">
        <v>87</v>
      </c>
      <c r="E17" s="240" t="s">
        <v>278</v>
      </c>
      <c r="F17" s="65" t="n">
        <f aca="false">103*2/60</f>
        <v>3.43333333333333</v>
      </c>
      <c r="G17" s="241" t="n">
        <v>0.02</v>
      </c>
      <c r="H17" s="241" t="n">
        <f aca="false">HLOOKUP(G17,BDI!$C$19:$J$30,12,)</f>
        <v>0.2223</v>
      </c>
      <c r="I17" s="242" t="n">
        <v>834</v>
      </c>
      <c r="J17" s="242" t="n">
        <v>741</v>
      </c>
      <c r="K17" s="242" t="n">
        <v>93</v>
      </c>
      <c r="L17" s="242" t="n">
        <v>0</v>
      </c>
      <c r="M17" s="242" t="s">
        <v>268</v>
      </c>
      <c r="N17" s="242" t="s">
        <v>268</v>
      </c>
    </row>
    <row r="18" customFormat="false" ht="18" hidden="false" customHeight="true" outlineLevel="0" collapsed="false">
      <c r="B18" s="238" t="s">
        <v>21</v>
      </c>
      <c r="C18" s="238" t="s">
        <v>22</v>
      </c>
      <c r="D18" s="239" t="s">
        <v>146</v>
      </c>
      <c r="E18" s="240" t="s">
        <v>279</v>
      </c>
      <c r="F18" s="65" t="n">
        <f aca="false">112*2/60</f>
        <v>3.73333333333333</v>
      </c>
      <c r="G18" s="241" t="n">
        <v>0.03</v>
      </c>
      <c r="H18" s="241" t="n">
        <f aca="false">HLOOKUP(G18,BDI!$C$19:$J$30,12,)</f>
        <v>0.2354</v>
      </c>
      <c r="I18" s="242" t="n">
        <v>334.4</v>
      </c>
      <c r="J18" s="242" t="n">
        <v>296</v>
      </c>
      <c r="K18" s="242" t="n">
        <v>38.4</v>
      </c>
      <c r="L18" s="242" t="n">
        <v>0</v>
      </c>
      <c r="M18" s="242" t="s">
        <v>265</v>
      </c>
      <c r="N18" s="242" t="s">
        <v>265</v>
      </c>
    </row>
    <row r="19" customFormat="false" ht="18" hidden="false" customHeight="true" outlineLevel="0" collapsed="false">
      <c r="B19" s="238" t="s">
        <v>21</v>
      </c>
      <c r="C19" s="238" t="s">
        <v>21</v>
      </c>
      <c r="D19" s="239" t="s">
        <v>89</v>
      </c>
      <c r="E19" s="240" t="s">
        <v>280</v>
      </c>
      <c r="F19" s="65" t="n">
        <f aca="false">243*2/60</f>
        <v>8.1</v>
      </c>
      <c r="G19" s="241" t="n">
        <v>0.02</v>
      </c>
      <c r="H19" s="241" t="n">
        <f aca="false">HLOOKUP(G19,BDI!$C$19:$J$30,12,)</f>
        <v>0.2223</v>
      </c>
      <c r="I19" s="242" t="n">
        <v>623</v>
      </c>
      <c r="J19" s="242" t="n">
        <v>547</v>
      </c>
      <c r="K19" s="242" t="n">
        <v>76</v>
      </c>
      <c r="L19" s="242" t="n">
        <v>0</v>
      </c>
      <c r="M19" s="242" t="s">
        <v>265</v>
      </c>
      <c r="N19" s="242" t="s">
        <v>268</v>
      </c>
    </row>
    <row r="20" customFormat="false" ht="18" hidden="false" customHeight="true" outlineLevel="0" collapsed="false">
      <c r="B20" s="238" t="s">
        <v>21</v>
      </c>
      <c r="C20" s="238" t="s">
        <v>21</v>
      </c>
      <c r="D20" s="239" t="s">
        <v>90</v>
      </c>
      <c r="E20" s="240" t="s">
        <v>281</v>
      </c>
      <c r="F20" s="65" t="n">
        <f aca="false">163*2/60</f>
        <v>5.43333333333333</v>
      </c>
      <c r="G20" s="241" t="n">
        <v>0.03</v>
      </c>
      <c r="H20" s="241" t="n">
        <f aca="false">HLOOKUP(G20,BDI!$C$19:$J$30,12,)</f>
        <v>0.2354</v>
      </c>
      <c r="I20" s="242" t="n">
        <v>1853</v>
      </c>
      <c r="J20" s="242" t="n">
        <v>754</v>
      </c>
      <c r="K20" s="242" t="n">
        <v>299</v>
      </c>
      <c r="L20" s="242" t="n">
        <v>800</v>
      </c>
      <c r="M20" s="242" t="s">
        <v>268</v>
      </c>
      <c r="N20" s="242" t="s">
        <v>268</v>
      </c>
    </row>
    <row r="21" customFormat="false" ht="18" hidden="false" customHeight="true" outlineLevel="0" collapsed="false">
      <c r="B21" s="238" t="s">
        <v>21</v>
      </c>
      <c r="C21" s="238" t="s">
        <v>21</v>
      </c>
      <c r="D21" s="239" t="s">
        <v>92</v>
      </c>
      <c r="E21" s="240" t="s">
        <v>282</v>
      </c>
      <c r="F21" s="65" t="n">
        <f aca="false">91*2/60</f>
        <v>3.03333333333333</v>
      </c>
      <c r="G21" s="241" t="n">
        <v>0.04</v>
      </c>
      <c r="H21" s="241" t="n">
        <f aca="false">HLOOKUP(G21,BDI!$C$19:$J$30,12,)</f>
        <v>0.2487</v>
      </c>
      <c r="I21" s="242" t="n">
        <v>919</v>
      </c>
      <c r="J21" s="242" t="n">
        <v>447</v>
      </c>
      <c r="K21" s="242" t="n">
        <v>74</v>
      </c>
      <c r="L21" s="242" t="n">
        <v>398</v>
      </c>
      <c r="M21" s="242" t="s">
        <v>265</v>
      </c>
      <c r="N21" s="242" t="s">
        <v>268</v>
      </c>
    </row>
    <row r="22" customFormat="false" ht="18" hidden="false" customHeight="true" outlineLevel="0" collapsed="false">
      <c r="B22" s="238" t="s">
        <v>21</v>
      </c>
      <c r="C22" s="238" t="s">
        <v>21</v>
      </c>
      <c r="D22" s="239" t="s">
        <v>93</v>
      </c>
      <c r="E22" s="240" t="s">
        <v>283</v>
      </c>
      <c r="F22" s="65" t="n">
        <f aca="false">67*2/60</f>
        <v>2.23333333333333</v>
      </c>
      <c r="G22" s="241" t="n">
        <v>0.02</v>
      </c>
      <c r="H22" s="241" t="n">
        <f aca="false">HLOOKUP(G22,BDI!$C$19:$J$30,12,)</f>
        <v>0.2223</v>
      </c>
      <c r="I22" s="242" t="n">
        <v>460</v>
      </c>
      <c r="J22" s="242" t="n">
        <v>436</v>
      </c>
      <c r="K22" s="242" t="n">
        <v>24</v>
      </c>
      <c r="L22" s="242" t="n">
        <v>0</v>
      </c>
      <c r="M22" s="242" t="s">
        <v>265</v>
      </c>
      <c r="N22" s="242" t="s">
        <v>268</v>
      </c>
    </row>
    <row r="23" customFormat="false" ht="18" hidden="false" customHeight="true" outlineLevel="0" collapsed="false">
      <c r="B23" s="238" t="s">
        <v>21</v>
      </c>
      <c r="C23" s="238" t="s">
        <v>22</v>
      </c>
      <c r="D23" s="239" t="s">
        <v>147</v>
      </c>
      <c r="E23" s="240" t="s">
        <v>284</v>
      </c>
      <c r="F23" s="65" t="n">
        <f aca="false">64/60</f>
        <v>1.06666666666667</v>
      </c>
      <c r="G23" s="241" t="n">
        <v>0.02</v>
      </c>
      <c r="H23" s="241" t="n">
        <f aca="false">HLOOKUP(G23,BDI!$C$19:$J$30,12,)</f>
        <v>0.2223</v>
      </c>
      <c r="I23" s="242" t="n">
        <v>963</v>
      </c>
      <c r="J23" s="242" t="n">
        <v>578</v>
      </c>
      <c r="K23" s="242" t="n">
        <v>97</v>
      </c>
      <c r="L23" s="242" t="n">
        <v>288</v>
      </c>
      <c r="M23" s="242" t="s">
        <v>268</v>
      </c>
      <c r="N23" s="242" t="s">
        <v>268</v>
      </c>
    </row>
    <row r="24" customFormat="false" ht="18" hidden="false" customHeight="true" outlineLevel="0" collapsed="false">
      <c r="B24" s="238" t="s">
        <v>21</v>
      </c>
      <c r="C24" s="238" t="s">
        <v>21</v>
      </c>
      <c r="D24" s="239" t="s">
        <v>95</v>
      </c>
      <c r="E24" s="243" t="s">
        <v>285</v>
      </c>
      <c r="F24" s="65" t="n">
        <f aca="false">258/60</f>
        <v>4.3</v>
      </c>
      <c r="G24" s="241" t="n">
        <v>0.025</v>
      </c>
      <c r="H24" s="241" t="n">
        <f aca="false">HLOOKUP(G24,BDI!$C$19:$J$30,12,)</f>
        <v>0.2288</v>
      </c>
      <c r="I24" s="242" t="n">
        <v>2253</v>
      </c>
      <c r="J24" s="242" t="n">
        <v>726</v>
      </c>
      <c r="K24" s="242" t="n">
        <v>290</v>
      </c>
      <c r="L24" s="242" t="n">
        <v>1237</v>
      </c>
      <c r="M24" s="242" t="s">
        <v>265</v>
      </c>
      <c r="N24" s="242" t="s">
        <v>268</v>
      </c>
    </row>
    <row r="25" customFormat="false" ht="18" hidden="false" customHeight="true" outlineLevel="0" collapsed="false">
      <c r="B25" s="238" t="s">
        <v>21</v>
      </c>
      <c r="C25" s="238" t="s">
        <v>21</v>
      </c>
      <c r="D25" s="239" t="s">
        <v>96</v>
      </c>
      <c r="E25" s="240" t="s">
        <v>286</v>
      </c>
      <c r="F25" s="65" t="n">
        <f aca="false">219*2/60</f>
        <v>7.3</v>
      </c>
      <c r="G25" s="241" t="n">
        <v>0.02</v>
      </c>
      <c r="H25" s="241" t="n">
        <f aca="false">HLOOKUP(G25,BDI!$C$19:$J$30,12,)</f>
        <v>0.2223</v>
      </c>
      <c r="I25" s="242" t="n">
        <v>1818</v>
      </c>
      <c r="J25" s="242" t="n">
        <v>595</v>
      </c>
      <c r="K25" s="242" t="n">
        <v>687</v>
      </c>
      <c r="L25" s="242" t="n">
        <v>536</v>
      </c>
      <c r="M25" s="242" t="s">
        <v>268</v>
      </c>
      <c r="N25" s="242" t="s">
        <v>268</v>
      </c>
    </row>
    <row r="26" customFormat="false" ht="18" hidden="false" customHeight="true" outlineLevel="0" collapsed="false">
      <c r="B26" s="238" t="s">
        <v>21</v>
      </c>
      <c r="C26" s="238" t="s">
        <v>21</v>
      </c>
      <c r="D26" s="239" t="s">
        <v>97</v>
      </c>
      <c r="E26" s="240" t="s">
        <v>287</v>
      </c>
      <c r="F26" s="65" t="n">
        <f aca="false">50*2/60</f>
        <v>1.66666666666667</v>
      </c>
      <c r="G26" s="241" t="n">
        <v>0.03</v>
      </c>
      <c r="H26" s="241" t="n">
        <f aca="false">HLOOKUP(G26,BDI!$C$19:$J$30,12,)</f>
        <v>0.2354</v>
      </c>
      <c r="I26" s="242" t="n">
        <v>1476</v>
      </c>
      <c r="J26" s="242" t="n">
        <v>714</v>
      </c>
      <c r="K26" s="242" t="n">
        <v>65</v>
      </c>
      <c r="L26" s="242" t="n">
        <v>697</v>
      </c>
      <c r="M26" s="242" t="s">
        <v>268</v>
      </c>
      <c r="N26" s="242" t="s">
        <v>268</v>
      </c>
    </row>
    <row r="27" customFormat="false" ht="18" hidden="false" customHeight="true" outlineLevel="0" collapsed="false">
      <c r="B27" s="238" t="s">
        <v>21</v>
      </c>
      <c r="C27" s="238" t="s">
        <v>21</v>
      </c>
      <c r="D27" s="239" t="s">
        <v>98</v>
      </c>
      <c r="E27" s="243" t="s">
        <v>288</v>
      </c>
      <c r="F27" s="65" t="n">
        <f aca="false">38*2/60</f>
        <v>1.26666666666667</v>
      </c>
      <c r="G27" s="241" t="n">
        <v>0.03</v>
      </c>
      <c r="H27" s="241" t="n">
        <f aca="false">HLOOKUP(G27,BDI!$C$19:$J$30,12,)</f>
        <v>0.2354</v>
      </c>
      <c r="I27" s="242" t="n">
        <v>334.4</v>
      </c>
      <c r="J27" s="242" t="n">
        <v>296</v>
      </c>
      <c r="K27" s="242" t="n">
        <v>38.4</v>
      </c>
      <c r="L27" s="242" t="n">
        <v>0</v>
      </c>
      <c r="M27" s="242" t="s">
        <v>265</v>
      </c>
      <c r="N27" s="242" t="s">
        <v>265</v>
      </c>
    </row>
    <row r="28" customFormat="false" ht="18" hidden="false" customHeight="true" outlineLevel="0" collapsed="false">
      <c r="B28" s="238" t="s">
        <v>21</v>
      </c>
      <c r="C28" s="238" t="s">
        <v>21</v>
      </c>
      <c r="D28" s="239" t="s">
        <v>99</v>
      </c>
      <c r="E28" s="240" t="s">
        <v>289</v>
      </c>
      <c r="F28" s="65" t="n">
        <v>0</v>
      </c>
      <c r="G28" s="241" t="n">
        <v>0.02</v>
      </c>
      <c r="H28" s="241" t="n">
        <f aca="false">HLOOKUP(G28,BDI!$C$19:$J$30,12,)</f>
        <v>0.2223</v>
      </c>
      <c r="I28" s="242" t="n">
        <v>1187</v>
      </c>
      <c r="J28" s="242" t="n">
        <v>1027</v>
      </c>
      <c r="K28" s="242" t="n">
        <v>155</v>
      </c>
      <c r="L28" s="242" t="n">
        <v>5</v>
      </c>
      <c r="M28" s="242" t="s">
        <v>268</v>
      </c>
      <c r="N28" s="242" t="s">
        <v>268</v>
      </c>
    </row>
  </sheetData>
  <mergeCells count="1">
    <mergeCell ref="B2:N2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J655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1" activeCellId="0" sqref="B11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244" width="11.62"/>
    <col collapsed="false" customWidth="true" hidden="false" outlineLevel="0" max="3" min="3" style="244" width="42.25"/>
    <col collapsed="false" customWidth="true" hidden="false" outlineLevel="0" max="4" min="4" style="52" width="11"/>
    <col collapsed="false" customWidth="true" hidden="false" outlineLevel="0" max="1023" min="5" style="1" width="10.38"/>
  </cols>
  <sheetData>
    <row r="1" customFormat="false" ht="15" hidden="false" customHeight="true" outlineLevel="0" collapsed="false"/>
    <row r="2" customFormat="false" ht="19.5" hidden="false" customHeight="true" outlineLevel="0" collapsed="false">
      <c r="B2" s="245" t="s">
        <v>290</v>
      </c>
      <c r="C2" s="245"/>
      <c r="D2" s="245"/>
      <c r="E2" s="245"/>
      <c r="F2" s="245"/>
      <c r="G2" s="245"/>
      <c r="H2" s="245"/>
      <c r="I2" s="245"/>
      <c r="J2" s="245"/>
    </row>
    <row r="3" customFormat="false" ht="19.5" hidden="false" customHeight="true" outlineLevel="0" collapsed="false">
      <c r="B3" s="246" t="s">
        <v>3</v>
      </c>
      <c r="C3" s="246"/>
      <c r="D3" s="246"/>
      <c r="E3" s="246"/>
      <c r="F3" s="246"/>
      <c r="G3" s="246"/>
      <c r="H3" s="246"/>
      <c r="I3" s="246"/>
      <c r="J3" s="246"/>
    </row>
    <row r="4" customFormat="false" ht="15" hidden="false" customHeight="true" outlineLevel="0" collapsed="false">
      <c r="B4" s="247"/>
      <c r="C4" s="247"/>
      <c r="D4" s="20"/>
    </row>
    <row r="5" customFormat="false" ht="15" hidden="false" customHeight="true" outlineLevel="0" collapsed="false">
      <c r="B5" s="248" t="s">
        <v>291</v>
      </c>
      <c r="C5" s="248"/>
      <c r="D5" s="248"/>
      <c r="E5" s="248"/>
      <c r="F5" s="249"/>
      <c r="G5" s="249"/>
      <c r="H5" s="249"/>
      <c r="I5" s="249"/>
      <c r="J5" s="250"/>
    </row>
    <row r="6" customFormat="false" ht="15" hidden="false" customHeight="true" outlineLevel="0" collapsed="false">
      <c r="B6" s="251"/>
      <c r="C6" s="2"/>
      <c r="D6" s="132"/>
      <c r="E6" s="132"/>
      <c r="J6" s="252"/>
    </row>
    <row r="7" customFormat="false" ht="15" hidden="false" customHeight="true" outlineLevel="0" collapsed="false">
      <c r="B7" s="253" t="s">
        <v>292</v>
      </c>
      <c r="C7" s="253"/>
      <c r="D7" s="253"/>
      <c r="E7" s="253"/>
      <c r="F7" s="253"/>
      <c r="G7" s="253"/>
      <c r="H7" s="253"/>
      <c r="I7" s="253"/>
      <c r="J7" s="253"/>
    </row>
    <row r="8" customFormat="false" ht="15" hidden="false" customHeight="true" outlineLevel="0" collapsed="false">
      <c r="B8" s="254"/>
      <c r="C8" s="255"/>
      <c r="D8" s="132"/>
      <c r="E8" s="132"/>
      <c r="J8" s="252"/>
    </row>
    <row r="9" customFormat="false" ht="15" hidden="false" customHeight="true" outlineLevel="0" collapsed="false">
      <c r="B9" s="256" t="s">
        <v>293</v>
      </c>
      <c r="C9" s="256"/>
      <c r="D9" s="256"/>
      <c r="E9" s="256"/>
      <c r="F9" s="256"/>
      <c r="G9" s="256"/>
      <c r="H9" s="256"/>
      <c r="I9" s="256"/>
      <c r="J9" s="256"/>
    </row>
    <row r="10" customFormat="false" ht="15" hidden="false" customHeight="true" outlineLevel="0" collapsed="false">
      <c r="B10" s="257" t="s">
        <v>294</v>
      </c>
      <c r="C10" s="257"/>
      <c r="D10" s="257"/>
      <c r="E10" s="257"/>
      <c r="F10" s="257"/>
      <c r="G10" s="257"/>
      <c r="H10" s="257"/>
      <c r="I10" s="257"/>
      <c r="J10" s="257"/>
    </row>
    <row r="11" customFormat="false" ht="15" hidden="false" customHeight="true" outlineLevel="0" collapsed="false">
      <c r="B11" s="257" t="s">
        <v>295</v>
      </c>
      <c r="C11" s="257"/>
      <c r="D11" s="257"/>
      <c r="E11" s="257"/>
      <c r="F11" s="257"/>
      <c r="G11" s="257"/>
      <c r="H11" s="257"/>
      <c r="I11" s="257"/>
      <c r="J11" s="257"/>
    </row>
    <row r="12" customFormat="false" ht="15" hidden="false" customHeight="true" outlineLevel="0" collapsed="false">
      <c r="B12" s="257" t="s">
        <v>296</v>
      </c>
      <c r="C12" s="257"/>
      <c r="D12" s="257"/>
      <c r="E12" s="257"/>
      <c r="F12" s="257"/>
      <c r="G12" s="257"/>
      <c r="H12" s="257"/>
      <c r="I12" s="257"/>
      <c r="J12" s="257"/>
    </row>
    <row r="13" customFormat="false" ht="15" hidden="false" customHeight="true" outlineLevel="0" collapsed="false">
      <c r="B13" s="257" t="s">
        <v>297</v>
      </c>
      <c r="C13" s="257"/>
      <c r="D13" s="257"/>
      <c r="E13" s="257"/>
      <c r="F13" s="257"/>
      <c r="G13" s="257"/>
      <c r="H13" s="257"/>
      <c r="I13" s="257"/>
      <c r="J13" s="257"/>
    </row>
    <row r="14" customFormat="false" ht="15" hidden="false" customHeight="true" outlineLevel="0" collapsed="false">
      <c r="B14" s="257" t="s">
        <v>298</v>
      </c>
      <c r="C14" s="257"/>
      <c r="D14" s="257"/>
      <c r="E14" s="257"/>
      <c r="F14" s="257"/>
      <c r="G14" s="257"/>
      <c r="H14" s="257"/>
      <c r="I14" s="257"/>
      <c r="J14" s="257"/>
    </row>
    <row r="15" customFormat="false" ht="15" hidden="false" customHeight="true" outlineLevel="0" collapsed="false">
      <c r="B15" s="257" t="s">
        <v>299</v>
      </c>
      <c r="C15" s="257"/>
      <c r="D15" s="257"/>
      <c r="E15" s="257"/>
      <c r="F15" s="257"/>
      <c r="G15" s="257"/>
      <c r="H15" s="257"/>
      <c r="I15" s="257"/>
      <c r="J15" s="257"/>
    </row>
    <row r="16" customFormat="false" ht="15" hidden="false" customHeight="true" outlineLevel="0" collapsed="false">
      <c r="B16" s="258" t="s">
        <v>300</v>
      </c>
      <c r="C16" s="258"/>
      <c r="D16" s="258"/>
      <c r="E16" s="258"/>
      <c r="F16" s="258"/>
      <c r="G16" s="258"/>
      <c r="H16" s="258"/>
      <c r="I16" s="258"/>
      <c r="J16" s="258"/>
    </row>
    <row r="17" customFormat="false" ht="24.75" hidden="false" customHeight="true" outlineLevel="0" collapsed="false">
      <c r="D17" s="20"/>
    </row>
    <row r="18" customFormat="false" ht="14.25" hidden="false" customHeight="true" outlineLevel="0" collapsed="false">
      <c r="B18" s="32" t="s">
        <v>301</v>
      </c>
      <c r="C18" s="32"/>
      <c r="D18" s="259" t="s">
        <v>256</v>
      </c>
      <c r="E18" s="259" t="s">
        <v>256</v>
      </c>
      <c r="F18" s="259" t="s">
        <v>256</v>
      </c>
      <c r="G18" s="260" t="s">
        <v>256</v>
      </c>
      <c r="H18" s="261" t="s">
        <v>256</v>
      </c>
      <c r="I18" s="261" t="s">
        <v>256</v>
      </c>
      <c r="J18" s="261" t="s">
        <v>256</v>
      </c>
    </row>
    <row r="19" customFormat="false" ht="14.25" hidden="false" customHeight="false" outlineLevel="0" collapsed="false">
      <c r="B19" s="32"/>
      <c r="C19" s="32"/>
      <c r="D19" s="262" t="n">
        <v>0.05</v>
      </c>
      <c r="E19" s="262" t="n">
        <v>0.04</v>
      </c>
      <c r="F19" s="262" t="n">
        <v>0.035</v>
      </c>
      <c r="G19" s="263" t="n">
        <v>0.03</v>
      </c>
      <c r="H19" s="264" t="n">
        <v>0.025</v>
      </c>
      <c r="I19" s="264" t="n">
        <v>0.02</v>
      </c>
      <c r="J19" s="264" t="n">
        <v>0.015</v>
      </c>
    </row>
    <row r="20" customFormat="false" ht="15" hidden="false" customHeight="true" outlineLevel="0" collapsed="false">
      <c r="B20" s="265" t="s">
        <v>302</v>
      </c>
      <c r="C20" s="266" t="s">
        <v>303</v>
      </c>
      <c r="D20" s="267" t="n">
        <v>0.04</v>
      </c>
      <c r="E20" s="267" t="n">
        <v>0.04</v>
      </c>
      <c r="F20" s="267" t="n">
        <v>0.04</v>
      </c>
      <c r="G20" s="267" t="n">
        <v>0.04</v>
      </c>
      <c r="H20" s="267" t="n">
        <v>0.04</v>
      </c>
      <c r="I20" s="267" t="n">
        <v>0.04</v>
      </c>
      <c r="J20" s="267" t="n">
        <v>0.04</v>
      </c>
    </row>
    <row r="21" customFormat="false" ht="15" hidden="false" customHeight="true" outlineLevel="0" collapsed="false">
      <c r="B21" s="265" t="s">
        <v>304</v>
      </c>
      <c r="C21" s="238" t="s">
        <v>305</v>
      </c>
      <c r="D21" s="268" t="n">
        <v>0.0123</v>
      </c>
      <c r="E21" s="268" t="n">
        <v>0.0123</v>
      </c>
      <c r="F21" s="268" t="n">
        <v>0.0123</v>
      </c>
      <c r="G21" s="268" t="n">
        <v>0.0123</v>
      </c>
      <c r="H21" s="268" t="n">
        <v>0.0123</v>
      </c>
      <c r="I21" s="268" t="n">
        <v>0.0123</v>
      </c>
      <c r="J21" s="268" t="n">
        <v>0.0123</v>
      </c>
    </row>
    <row r="22" customFormat="false" ht="15" hidden="false" customHeight="true" outlineLevel="0" collapsed="false">
      <c r="B22" s="265" t="s">
        <v>306</v>
      </c>
      <c r="C22" s="238" t="s">
        <v>307</v>
      </c>
      <c r="D22" s="268" t="n">
        <v>0.008</v>
      </c>
      <c r="E22" s="268" t="n">
        <v>0.008</v>
      </c>
      <c r="F22" s="268" t="n">
        <v>0.008</v>
      </c>
      <c r="G22" s="268" t="n">
        <v>0.008</v>
      </c>
      <c r="H22" s="268" t="n">
        <v>0.008</v>
      </c>
      <c r="I22" s="268" t="n">
        <v>0.008</v>
      </c>
      <c r="J22" s="268" t="n">
        <v>0.008</v>
      </c>
    </row>
    <row r="23" customFormat="false" ht="15" hidden="false" customHeight="true" outlineLevel="0" collapsed="false">
      <c r="B23" s="265" t="s">
        <v>308</v>
      </c>
      <c r="C23" s="238" t="s">
        <v>309</v>
      </c>
      <c r="D23" s="268" t="n">
        <v>0.0127</v>
      </c>
      <c r="E23" s="268" t="n">
        <v>0.0127</v>
      </c>
      <c r="F23" s="268" t="n">
        <v>0.0127</v>
      </c>
      <c r="G23" s="268" t="n">
        <v>0.0127</v>
      </c>
      <c r="H23" s="268" t="n">
        <v>0.0127</v>
      </c>
      <c r="I23" s="268" t="n">
        <v>0.0127</v>
      </c>
      <c r="J23" s="268" t="n">
        <v>0.0127</v>
      </c>
    </row>
    <row r="24" customFormat="false" ht="15" hidden="false" customHeight="true" outlineLevel="0" collapsed="false">
      <c r="B24" s="265" t="s">
        <v>310</v>
      </c>
      <c r="C24" s="238" t="s">
        <v>311</v>
      </c>
      <c r="D24" s="268" t="n">
        <v>0.074</v>
      </c>
      <c r="E24" s="268" t="n">
        <v>0.074</v>
      </c>
      <c r="F24" s="268" t="n">
        <v>0.074</v>
      </c>
      <c r="G24" s="268" t="n">
        <v>0.074</v>
      </c>
      <c r="H24" s="268" t="n">
        <v>0.074</v>
      </c>
      <c r="I24" s="268" t="n">
        <v>0.074</v>
      </c>
      <c r="J24" s="268" t="n">
        <v>0.074</v>
      </c>
    </row>
    <row r="25" customFormat="false" ht="15" hidden="false" customHeight="true" outlineLevel="0" collapsed="false">
      <c r="B25" s="265" t="s">
        <v>201</v>
      </c>
      <c r="C25" s="238" t="s">
        <v>312</v>
      </c>
      <c r="D25" s="268" t="n">
        <v>0.0065</v>
      </c>
      <c r="E25" s="268" t="n">
        <v>0.0065</v>
      </c>
      <c r="F25" s="268" t="n">
        <v>0.0065</v>
      </c>
      <c r="G25" s="268" t="n">
        <v>0.0065</v>
      </c>
      <c r="H25" s="268" t="n">
        <v>0.0065</v>
      </c>
      <c r="I25" s="268" t="n">
        <v>0.0065</v>
      </c>
      <c r="J25" s="268" t="n">
        <v>0.0065</v>
      </c>
    </row>
    <row r="26" customFormat="false" ht="15" hidden="false" customHeight="true" outlineLevel="0" collapsed="false">
      <c r="B26" s="265"/>
      <c r="C26" s="265" t="s">
        <v>313</v>
      </c>
      <c r="D26" s="269" t="n">
        <v>0.03</v>
      </c>
      <c r="E26" s="269" t="n">
        <v>0.03</v>
      </c>
      <c r="F26" s="269" t="n">
        <v>0.03</v>
      </c>
      <c r="G26" s="269" t="n">
        <v>0.03</v>
      </c>
      <c r="H26" s="269" t="n">
        <v>0.03</v>
      </c>
      <c r="I26" s="269" t="n">
        <v>0.03</v>
      </c>
      <c r="J26" s="269" t="n">
        <v>0.03</v>
      </c>
    </row>
    <row r="27" customFormat="false" ht="15" hidden="false" customHeight="true" outlineLevel="0" collapsed="false">
      <c r="B27" s="265"/>
      <c r="C27" s="265" t="s">
        <v>256</v>
      </c>
      <c r="D27" s="269" t="n">
        <v>0.05</v>
      </c>
      <c r="E27" s="269" t="n">
        <v>0.04</v>
      </c>
      <c r="F27" s="268" t="n">
        <v>0.035</v>
      </c>
      <c r="G27" s="269" t="n">
        <v>0.03</v>
      </c>
      <c r="H27" s="269" t="n">
        <v>0.025</v>
      </c>
      <c r="I27" s="269" t="n">
        <v>0.02</v>
      </c>
      <c r="J27" s="268" t="n">
        <v>0.015</v>
      </c>
    </row>
    <row r="28" customFormat="false" ht="15" hidden="false" customHeight="true" outlineLevel="0" collapsed="false">
      <c r="B28" s="265"/>
      <c r="C28" s="265" t="s">
        <v>314</v>
      </c>
      <c r="D28" s="269" t="n">
        <v>0</v>
      </c>
      <c r="E28" s="269" t="n">
        <v>0</v>
      </c>
      <c r="F28" s="268" t="n">
        <v>0</v>
      </c>
      <c r="G28" s="269" t="n">
        <v>0</v>
      </c>
      <c r="H28" s="269" t="n">
        <v>0</v>
      </c>
      <c r="I28" s="269" t="n">
        <v>0</v>
      </c>
      <c r="J28" s="268" t="n">
        <v>0</v>
      </c>
    </row>
    <row r="29" customFormat="false" ht="19.5" hidden="false" customHeight="true" outlineLevel="0" collapsed="false">
      <c r="B29" s="130" t="s">
        <v>315</v>
      </c>
      <c r="C29" s="130"/>
      <c r="D29" s="36" t="n">
        <f aca="false">(((1+D22+D20+D23)*(1+D21)*(1+D24))/(1-(D25+D26+D27+D28))-1)</f>
        <v>0.262401597307061</v>
      </c>
      <c r="E29" s="36" t="n">
        <f aca="false">(((1+E22+E20+E23)*(1+E21)*(1+E24))/(1-(E25+E26+E27+E28))-1)</f>
        <v>0.248731845305902</v>
      </c>
      <c r="F29" s="36" t="n">
        <f aca="false">(((1+F22+F20+F23)*(1+F21)*(1+F24))/(1-(F25+F26+F27+F28))-1)</f>
        <v>0.24200738733441</v>
      </c>
      <c r="G29" s="36" t="n">
        <f aca="false">(((1+G22+G20+G23)*(1+G21)*(1+G24))/(1-(G25+G26+G27+G28))-1)</f>
        <v>0.235354964263524</v>
      </c>
      <c r="H29" s="36" t="n">
        <f aca="false">(((1+H22+H20+H23)*(1+H21)*(1+H24))/(1-(H25+H26+H27+H28))-1)</f>
        <v>0.22877342476292</v>
      </c>
      <c r="I29" s="36" t="n">
        <f aca="false">(((1+I22+I20+I23)*(1+I21)*(1+I24))/(1-(I25+I26+I27+I28))-1)</f>
        <v>0.22226164190779</v>
      </c>
      <c r="J29" s="36" t="n">
        <f aca="false">(((1+J22+J20+J23)*(1+J21)*(1+J24))/(1-(J25+J26+J27+J28))-1)</f>
        <v>0.215818512535582</v>
      </c>
    </row>
    <row r="30" customFormat="false" ht="19.5" hidden="false" customHeight="true" outlineLevel="0" collapsed="false">
      <c r="B30" s="270" t="s">
        <v>316</v>
      </c>
      <c r="C30" s="270"/>
      <c r="D30" s="271" t="n">
        <f aca="false">ROUND(D29,4)</f>
        <v>0.2624</v>
      </c>
      <c r="E30" s="271" t="n">
        <f aca="false">ROUND(E29,4)</f>
        <v>0.2487</v>
      </c>
      <c r="F30" s="271" t="n">
        <f aca="false">ROUND(F29,4)</f>
        <v>0.242</v>
      </c>
      <c r="G30" s="271" t="n">
        <f aca="false">ROUND(G29,4)</f>
        <v>0.2354</v>
      </c>
      <c r="H30" s="271" t="n">
        <f aca="false">ROUND(H29,4)</f>
        <v>0.2288</v>
      </c>
      <c r="I30" s="271" t="n">
        <f aca="false">ROUND(I29,4)</f>
        <v>0.2223</v>
      </c>
      <c r="J30" s="271" t="n">
        <f aca="false">ROUND(J29,4)</f>
        <v>0.2158</v>
      </c>
    </row>
    <row r="31" customFormat="false" ht="24.75" hidden="false" customHeight="true" outlineLevel="0" collapsed="false">
      <c r="B31" s="272"/>
      <c r="C31" s="272"/>
      <c r="D31" s="83"/>
      <c r="E31" s="83"/>
      <c r="F31" s="83"/>
      <c r="G31" s="83"/>
      <c r="H31" s="83"/>
      <c r="I31" s="83"/>
      <c r="J31" s="83"/>
    </row>
    <row r="32" customFormat="false" ht="14.25" hidden="false" customHeight="true" outlineLevel="0" collapsed="false">
      <c r="B32" s="32" t="s">
        <v>317</v>
      </c>
      <c r="C32" s="32"/>
      <c r="D32" s="259" t="s">
        <v>256</v>
      </c>
      <c r="E32" s="259" t="s">
        <v>256</v>
      </c>
      <c r="F32" s="259" t="s">
        <v>256</v>
      </c>
      <c r="G32" s="260" t="s">
        <v>256</v>
      </c>
      <c r="H32" s="261" t="s">
        <v>256</v>
      </c>
      <c r="I32" s="261" t="s">
        <v>256</v>
      </c>
      <c r="J32" s="261" t="s">
        <v>256</v>
      </c>
    </row>
    <row r="33" customFormat="false" ht="14.25" hidden="false" customHeight="false" outlineLevel="0" collapsed="false">
      <c r="B33" s="32"/>
      <c r="C33" s="32"/>
      <c r="D33" s="273" t="n">
        <v>0.05</v>
      </c>
      <c r="E33" s="273" t="n">
        <v>0.04</v>
      </c>
      <c r="F33" s="273" t="n">
        <v>0.035</v>
      </c>
      <c r="G33" s="274" t="n">
        <v>0.03</v>
      </c>
      <c r="H33" s="275" t="n">
        <v>0.025</v>
      </c>
      <c r="I33" s="275" t="n">
        <v>0.02</v>
      </c>
      <c r="J33" s="275" t="n">
        <v>0.015</v>
      </c>
    </row>
    <row r="34" customFormat="false" ht="15" hidden="false" customHeight="true" outlineLevel="0" collapsed="false">
      <c r="B34" s="265" t="s">
        <v>302</v>
      </c>
      <c r="C34" s="266" t="s">
        <v>303</v>
      </c>
      <c r="D34" s="268" t="n">
        <v>0.0345</v>
      </c>
      <c r="E34" s="268" t="n">
        <v>0.0345</v>
      </c>
      <c r="F34" s="268" t="n">
        <v>0.0345</v>
      </c>
      <c r="G34" s="268" t="n">
        <v>0.0345</v>
      </c>
      <c r="H34" s="268" t="n">
        <v>0.0345</v>
      </c>
      <c r="I34" s="268" t="n">
        <v>0.0345</v>
      </c>
      <c r="J34" s="268" t="n">
        <v>0.0345</v>
      </c>
    </row>
    <row r="35" customFormat="false" ht="15" hidden="false" customHeight="true" outlineLevel="0" collapsed="false">
      <c r="B35" s="265" t="s">
        <v>304</v>
      </c>
      <c r="C35" s="238" t="s">
        <v>305</v>
      </c>
      <c r="D35" s="268" t="n">
        <v>0.0085</v>
      </c>
      <c r="E35" s="268" t="n">
        <v>0.0085</v>
      </c>
      <c r="F35" s="268" t="n">
        <v>0.0085</v>
      </c>
      <c r="G35" s="268" t="n">
        <v>0.0085</v>
      </c>
      <c r="H35" s="268" t="n">
        <v>0.0085</v>
      </c>
      <c r="I35" s="268" t="n">
        <v>0.0085</v>
      </c>
      <c r="J35" s="268" t="n">
        <v>0.0085</v>
      </c>
    </row>
    <row r="36" customFormat="false" ht="15" hidden="false" customHeight="true" outlineLevel="0" collapsed="false">
      <c r="B36" s="265" t="s">
        <v>306</v>
      </c>
      <c r="C36" s="238" t="s">
        <v>307</v>
      </c>
      <c r="D36" s="268" t="n">
        <v>0.0048</v>
      </c>
      <c r="E36" s="268" t="n">
        <v>0.0048</v>
      </c>
      <c r="F36" s="268" t="n">
        <v>0.0048</v>
      </c>
      <c r="G36" s="268" t="n">
        <v>0.0048</v>
      </c>
      <c r="H36" s="268" t="n">
        <v>0.0048</v>
      </c>
      <c r="I36" s="268" t="n">
        <v>0.0048</v>
      </c>
      <c r="J36" s="268" t="n">
        <v>0.0048</v>
      </c>
    </row>
    <row r="37" customFormat="false" ht="15" hidden="false" customHeight="true" outlineLevel="0" collapsed="false">
      <c r="B37" s="265" t="s">
        <v>308</v>
      </c>
      <c r="C37" s="238" t="s">
        <v>309</v>
      </c>
      <c r="D37" s="268" t="n">
        <v>0.0085</v>
      </c>
      <c r="E37" s="268" t="n">
        <v>0.0085</v>
      </c>
      <c r="F37" s="268" t="n">
        <v>0.0085</v>
      </c>
      <c r="G37" s="268" t="n">
        <v>0.0085</v>
      </c>
      <c r="H37" s="268" t="n">
        <v>0.0085</v>
      </c>
      <c r="I37" s="268" t="n">
        <v>0.0085</v>
      </c>
      <c r="J37" s="268" t="n">
        <v>0.0085</v>
      </c>
    </row>
    <row r="38" customFormat="false" ht="15" hidden="false" customHeight="true" outlineLevel="0" collapsed="false">
      <c r="B38" s="265" t="s">
        <v>310</v>
      </c>
      <c r="C38" s="238" t="s">
        <v>311</v>
      </c>
      <c r="D38" s="268" t="n">
        <v>0.0511</v>
      </c>
      <c r="E38" s="268" t="n">
        <v>0.0511</v>
      </c>
      <c r="F38" s="268" t="n">
        <v>0.0511</v>
      </c>
      <c r="G38" s="268" t="n">
        <v>0.0511</v>
      </c>
      <c r="H38" s="268" t="n">
        <v>0.0511</v>
      </c>
      <c r="I38" s="268" t="n">
        <v>0.0511</v>
      </c>
      <c r="J38" s="268" t="n">
        <v>0.0511</v>
      </c>
    </row>
    <row r="39" customFormat="false" ht="15" hidden="false" customHeight="true" outlineLevel="0" collapsed="false">
      <c r="B39" s="265" t="s">
        <v>201</v>
      </c>
      <c r="C39" s="238" t="s">
        <v>312</v>
      </c>
      <c r="D39" s="268" t="n">
        <v>0.0065</v>
      </c>
      <c r="E39" s="268" t="n">
        <v>0.0065</v>
      </c>
      <c r="F39" s="268" t="n">
        <v>0.0065</v>
      </c>
      <c r="G39" s="268" t="n">
        <v>0.0065</v>
      </c>
      <c r="H39" s="268" t="n">
        <v>0.0065</v>
      </c>
      <c r="I39" s="268" t="n">
        <v>0.0065</v>
      </c>
      <c r="J39" s="268" t="n">
        <v>0.0065</v>
      </c>
    </row>
    <row r="40" customFormat="false" ht="15" hidden="false" customHeight="true" outlineLevel="0" collapsed="false">
      <c r="B40" s="265"/>
      <c r="C40" s="265" t="s">
        <v>313</v>
      </c>
      <c r="D40" s="269" t="n">
        <v>0.03</v>
      </c>
      <c r="E40" s="269" t="n">
        <v>0.03</v>
      </c>
      <c r="F40" s="269" t="n">
        <v>0.03</v>
      </c>
      <c r="G40" s="269" t="n">
        <v>0.03</v>
      </c>
      <c r="H40" s="269" t="n">
        <v>0.03</v>
      </c>
      <c r="I40" s="269" t="n">
        <v>0.03</v>
      </c>
      <c r="J40" s="269" t="n">
        <v>0.03</v>
      </c>
    </row>
    <row r="41" customFormat="false" ht="15" hidden="false" customHeight="true" outlineLevel="0" collapsed="false">
      <c r="B41" s="265"/>
      <c r="C41" s="265" t="s">
        <v>256</v>
      </c>
      <c r="D41" s="269" t="n">
        <v>0</v>
      </c>
      <c r="E41" s="269" t="n">
        <v>0</v>
      </c>
      <c r="F41" s="268" t="n">
        <v>0</v>
      </c>
      <c r="G41" s="269" t="n">
        <v>0</v>
      </c>
      <c r="H41" s="269" t="n">
        <v>0</v>
      </c>
      <c r="I41" s="269" t="n">
        <v>0</v>
      </c>
      <c r="J41" s="268" t="n">
        <v>0</v>
      </c>
    </row>
    <row r="42" customFormat="false" ht="15" hidden="false" customHeight="true" outlineLevel="0" collapsed="false">
      <c r="B42" s="265"/>
      <c r="C42" s="265" t="s">
        <v>314</v>
      </c>
      <c r="D42" s="269" t="n">
        <v>0</v>
      </c>
      <c r="E42" s="269" t="n">
        <v>0</v>
      </c>
      <c r="F42" s="268" t="n">
        <v>0</v>
      </c>
      <c r="G42" s="269" t="n">
        <v>0</v>
      </c>
      <c r="H42" s="269" t="n">
        <v>0</v>
      </c>
      <c r="I42" s="269" t="n">
        <v>0</v>
      </c>
      <c r="J42" s="268" t="n">
        <v>0</v>
      </c>
    </row>
    <row r="43" customFormat="false" ht="19.5" hidden="false" customHeight="true" outlineLevel="0" collapsed="false">
      <c r="B43" s="87" t="s">
        <v>315</v>
      </c>
      <c r="C43" s="87"/>
      <c r="D43" s="36" t="n">
        <f aca="false">(((1+D36+D34+D37)*(1+D35)*(1+D38))/(1-(D39+D40+D41+D42))-1)</f>
        <v>0.152780479429164</v>
      </c>
      <c r="E43" s="36" t="n">
        <f aca="false">(((1+E36+E34+E37)*(1+E35)*(1+E38))/(1-(E39+E40+E41+E42))-1)</f>
        <v>0.152780479429164</v>
      </c>
      <c r="F43" s="36" t="n">
        <f aca="false">(((1+F36+F34+F37)*(1+F35)*(1+F38))/(1-(F39+F40+F41+F42))-1)</f>
        <v>0.152780479429164</v>
      </c>
      <c r="G43" s="36" t="n">
        <f aca="false">(((1+G36+G34+G37)*(1+G35)*(1+G38))/(1-(G39+G40+G41+G42))-1)</f>
        <v>0.152780479429164</v>
      </c>
      <c r="H43" s="36" t="n">
        <f aca="false">(((1+H36+H34+H37)*(1+H35)*(1+H38))/(1-(H39+H40+H41+H42))-1)</f>
        <v>0.152780479429164</v>
      </c>
      <c r="I43" s="36" t="n">
        <f aca="false">(((1+I36+I34+I37)*(1+I35)*(1+I38))/(1-(I39+I40+I41+I42))-1)</f>
        <v>0.152780479429164</v>
      </c>
      <c r="J43" s="36" t="n">
        <f aca="false">(((1+J36+J34+J37)*(1+J35)*(1+J38))/(1-(J39+J40+J41+J42))-1)</f>
        <v>0.152780479429164</v>
      </c>
    </row>
    <row r="44" customFormat="false" ht="19.5" hidden="false" customHeight="true" outlineLevel="0" collapsed="false">
      <c r="B44" s="276" t="s">
        <v>316</v>
      </c>
      <c r="C44" s="276"/>
      <c r="D44" s="271" t="n">
        <f aca="false">ROUND(D43,4)</f>
        <v>0.1528</v>
      </c>
      <c r="E44" s="271" t="n">
        <f aca="false">ROUND(E43,4)</f>
        <v>0.1528</v>
      </c>
      <c r="F44" s="271" t="n">
        <f aca="false">ROUND(F43,4)</f>
        <v>0.1528</v>
      </c>
      <c r="G44" s="271" t="n">
        <f aca="false">ROUND(G43,4)</f>
        <v>0.1528</v>
      </c>
      <c r="H44" s="271" t="n">
        <f aca="false">ROUND(H43,4)</f>
        <v>0.1528</v>
      </c>
      <c r="I44" s="271" t="n">
        <f aca="false">ROUND(I43,4)</f>
        <v>0.1528</v>
      </c>
      <c r="J44" s="271" t="n">
        <f aca="false">ROUND(J43,4)</f>
        <v>0.1528</v>
      </c>
    </row>
    <row r="65540" customFormat="false" ht="12.75" hidden="false" customHeight="true" outlineLevel="0" collapsed="false"/>
    <row r="65541" customFormat="false" ht="12.75" hidden="false" customHeight="true" outlineLevel="0" collapsed="false"/>
  </sheetData>
  <mergeCells count="20">
    <mergeCell ref="B2:J2"/>
    <mergeCell ref="B3:J3"/>
    <mergeCell ref="B5:E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eadings="false" gridLines="false" gridLinesSet="true" horizontalCentered="true" verticalCentered="false"/>
  <pageMargins left="0.254861111111111" right="0.240972222222222" top="0.495833333333333" bottom="0.333333333333333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2:I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37890625" defaultRowHeight="14.25" zeroHeight="false" outlineLevelRow="0" outlineLevelCol="0"/>
  <cols>
    <col collapsed="false" customWidth="true" hidden="false" outlineLevel="0" max="2" min="2" style="1" width="32.38"/>
    <col collapsed="false" customWidth="true" hidden="false" outlineLevel="0" max="3" min="3" style="16" width="9.12"/>
    <col collapsed="false" customWidth="true" hidden="false" outlineLevel="0" max="4" min="4" style="16" width="12.25"/>
    <col collapsed="false" customWidth="true" hidden="false" outlineLevel="0" max="5" min="5" style="16" width="13.62"/>
    <col collapsed="false" customWidth="true" hidden="false" outlineLevel="0" max="6" min="6" style="16" width="7"/>
    <col collapsed="false" customWidth="true" hidden="false" outlineLevel="0" max="7" min="7" style="16" width="11.88"/>
    <col collapsed="false" customWidth="true" hidden="false" outlineLevel="0" max="8" min="8" style="16" width="13.25"/>
    <col collapsed="false" customWidth="true" hidden="false" outlineLevel="0" max="9" min="9" style="16" width="12.76"/>
    <col collapsed="false" customWidth="true" hidden="false" outlineLevel="0" max="11" min="10" style="16" width="13"/>
    <col collapsed="false" customWidth="true" hidden="false" outlineLevel="0" max="13" min="12" style="16" width="9.25"/>
    <col collapsed="false" customWidth="true" hidden="false" outlineLevel="0" max="248" min="14" style="16" width="10.62"/>
    <col collapsed="false" customWidth="true" hidden="false" outlineLevel="0" max="1018" min="249" style="1" width="10.5"/>
  </cols>
  <sheetData>
    <row r="2" customFormat="false" ht="24.75" hidden="false" customHeight="true" outlineLevel="0" collapsed="false">
      <c r="B2" s="44" t="str">
        <f aca="false">"DIVISÃO DOS CUSTOS POR ALÍQUOTA DE ISSQN - "&amp;'Valor da Contratação'!B7&amp;""</f>
        <v>DIVISÃO DOS CUSTOS POR ALÍQUOTA DE ISSQN - POLO VI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customFormat="false" ht="16.5" hidden="false" customHeight="true" outlineLevel="0" collapsed="false"/>
    <row r="4" customFormat="false" ht="45.75" hidden="false" customHeight="true" outlineLevel="0" collapsed="false">
      <c r="B4" s="277" t="s">
        <v>41</v>
      </c>
      <c r="C4" s="278" t="s">
        <v>318</v>
      </c>
      <c r="D4" s="278" t="s">
        <v>319</v>
      </c>
      <c r="E4" s="278" t="s">
        <v>320</v>
      </c>
      <c r="F4" s="279"/>
      <c r="G4" s="278" t="s">
        <v>321</v>
      </c>
      <c r="H4" s="278" t="s">
        <v>322</v>
      </c>
      <c r="I4" s="278" t="s">
        <v>323</v>
      </c>
      <c r="J4" s="278" t="s">
        <v>324</v>
      </c>
      <c r="K4" s="278" t="s">
        <v>325</v>
      </c>
      <c r="L4" s="278" t="s">
        <v>326</v>
      </c>
      <c r="M4" s="278" t="s">
        <v>327</v>
      </c>
    </row>
    <row r="5" customFormat="false" ht="15" hidden="false" customHeight="true" outlineLevel="0" collapsed="false">
      <c r="B5" s="125" t="str">
        <f aca="false">'Base Chapecó'!B7</f>
        <v>APS CAÇADOR</v>
      </c>
      <c r="C5" s="280" t="n">
        <f aca="false">VLOOKUP(B5,Unidades!$D$5:$G$28,4,)</f>
        <v>0.02</v>
      </c>
      <c r="D5" s="281" t="n">
        <f aca="false">'Base Chapecó'!AD7*12+'Base Chapecó'!AE7*4+'Base Chapecó'!AF7*2+'Base Chapecó'!AG7</f>
        <v>29412.3127575962</v>
      </c>
      <c r="E5" s="281" t="n">
        <f aca="false">'Base Chapecó'!AK7*12+'Base Chapecó'!AL7*4+'Base Chapecó'!AM7*2+'Base Chapecó'!AN7</f>
        <v>35950.6698836099</v>
      </c>
      <c r="G5" s="269" t="n">
        <v>0.015</v>
      </c>
      <c r="H5" s="282" t="n">
        <f aca="false">SUMIF(C$5:C$28,G5,D$5:D$28)</f>
        <v>0</v>
      </c>
      <c r="I5" s="282" t="n">
        <f aca="false">SUMIF(C$5:C$28,G5,E$5:E$28)</f>
        <v>0</v>
      </c>
      <c r="J5" s="282" t="n">
        <f aca="false">H5*4</f>
        <v>0</v>
      </c>
      <c r="K5" s="282" t="n">
        <f aca="false">I5*4</f>
        <v>0</v>
      </c>
      <c r="L5" s="283" t="n">
        <f aca="false">H5/H$14</f>
        <v>0</v>
      </c>
      <c r="M5" s="283" t="n">
        <f aca="false">I5/I$14</f>
        <v>0</v>
      </c>
    </row>
    <row r="6" customFormat="false" ht="15" hidden="false" customHeight="true" outlineLevel="0" collapsed="false">
      <c r="B6" s="125" t="str">
        <f aca="false">'Base Chapecó'!B8</f>
        <v>APS CAMPOS NOVOS</v>
      </c>
      <c r="C6" s="280" t="n">
        <f aca="false">VLOOKUP(B6,Unidades!$D$5:$G$28,4,)</f>
        <v>0.05</v>
      </c>
      <c r="D6" s="281" t="n">
        <f aca="false">'Base Chapecó'!AD8*12+'Base Chapecó'!AE8*4+'Base Chapecó'!AF8*2+'Base Chapecó'!AG8</f>
        <v>22840.8296595173</v>
      </c>
      <c r="E6" s="281" t="n">
        <f aca="false">'Base Chapecó'!AK8*12+'Base Chapecó'!AL8*4+'Base Chapecó'!AM8*2+'Base Chapecó'!AN8</f>
        <v>28834.2633621746</v>
      </c>
      <c r="G6" s="269" t="n">
        <v>0.02</v>
      </c>
      <c r="H6" s="282" t="n">
        <f aca="false">SUMIF(C$5:C$28,G6,D$5:D$28)</f>
        <v>182857.37864273</v>
      </c>
      <c r="I6" s="282" t="n">
        <f aca="false">SUMIF(C$5:C$28,G6,E$5:E$28)</f>
        <v>223506.573915009</v>
      </c>
      <c r="J6" s="282" t="n">
        <f aca="false">H6*4</f>
        <v>731429.51457092</v>
      </c>
      <c r="K6" s="282" t="n">
        <f aca="false">I6*4</f>
        <v>894026.295660035</v>
      </c>
      <c r="L6" s="283" t="n">
        <f aca="false">H6/H$14</f>
        <v>0.476162211048849</v>
      </c>
      <c r="M6" s="283" t="n">
        <f aca="false">I6/I$14</f>
        <v>0.472089652627242</v>
      </c>
    </row>
    <row r="7" customFormat="false" ht="15" hidden="false" customHeight="true" outlineLevel="0" collapsed="false">
      <c r="B7" s="125" t="str">
        <f aca="false">'Base Chapecó'!B9</f>
        <v>APS CAPINZAL</v>
      </c>
      <c r="C7" s="280" t="n">
        <f aca="false">VLOOKUP(B7,Unidades!$D$5:$G$28,4,)</f>
        <v>0.02</v>
      </c>
      <c r="D7" s="281" t="n">
        <f aca="false">'Base Chapecó'!AD9*12+'Base Chapecó'!AE9*4+'Base Chapecó'!AF9*2+'Base Chapecó'!AG9</f>
        <v>19439.6380532162</v>
      </c>
      <c r="E7" s="281" t="n">
        <f aca="false">'Base Chapecó'!AK9*12+'Base Chapecó'!AL9*4+'Base Chapecó'!AM9*2+'Base Chapecó'!AN9</f>
        <v>23761.0695924461</v>
      </c>
      <c r="G7" s="269" t="n">
        <v>0.025</v>
      </c>
      <c r="H7" s="282" t="n">
        <f aca="false">SUMIF(C$5:C$28,G7,D$5:D$28)</f>
        <v>18942.9642509295</v>
      </c>
      <c r="I7" s="282" t="n">
        <f aca="false">SUMIF(C$5:C$28,G7,E$5:E$28)</f>
        <v>23277.1144715422</v>
      </c>
      <c r="J7" s="282" t="n">
        <f aca="false">H7*4</f>
        <v>75771.8570037182</v>
      </c>
      <c r="K7" s="282" t="n">
        <f aca="false">I7*4</f>
        <v>93108.4578861689</v>
      </c>
      <c r="L7" s="283" t="n">
        <f aca="false">H7/H$14</f>
        <v>0.0493276443559065</v>
      </c>
      <c r="M7" s="283" t="n">
        <f aca="false">I7/I$14</f>
        <v>0.0491658240406548</v>
      </c>
    </row>
    <row r="8" customFormat="false" ht="15" hidden="false" customHeight="true" outlineLevel="0" collapsed="false">
      <c r="B8" s="125" t="str">
        <f aca="false">'Base Chapecó'!B10</f>
        <v>APS CHAPECÓ</v>
      </c>
      <c r="C8" s="280" t="n">
        <f aca="false">VLOOKUP(B8,Unidades!$D$5:$G$28,4,)</f>
        <v>0.02</v>
      </c>
      <c r="D8" s="281" t="n">
        <f aca="false">'Base Chapecó'!AD10*12+'Base Chapecó'!AE10*4+'Base Chapecó'!AF10*2+'Base Chapecó'!AG10</f>
        <v>14686.0909428506</v>
      </c>
      <c r="E8" s="281" t="n">
        <f aca="false">'Base Chapecó'!AK10*12+'Base Chapecó'!AL10*4+'Base Chapecó'!AM10*2+'Base Chapecó'!AN10</f>
        <v>17950.8089594463</v>
      </c>
      <c r="G8" s="269" t="n">
        <v>0.03</v>
      </c>
      <c r="H8" s="282" t="n">
        <f aca="false">SUMIF(C$5:C$28,G8,D$5:D$28)</f>
        <v>119015.296349191</v>
      </c>
      <c r="I8" s="282" t="n">
        <f aca="false">SUMIF(C$5:C$28,G8,E$5:E$28)</f>
        <v>147031.49710979</v>
      </c>
      <c r="J8" s="282" t="n">
        <f aca="false">H8*4</f>
        <v>476061.185396764</v>
      </c>
      <c r="K8" s="282" t="n">
        <f aca="false">I8*4</f>
        <v>588125.988439162</v>
      </c>
      <c r="L8" s="283" t="n">
        <f aca="false">H8/H$14</f>
        <v>0.309916871164323</v>
      </c>
      <c r="M8" s="283" t="n">
        <f aca="false">I8/I$14</f>
        <v>0.310559314565035</v>
      </c>
    </row>
    <row r="9" s="29" customFormat="true" ht="15" hidden="false" customHeight="true" outlineLevel="0" collapsed="false">
      <c r="B9" s="125" t="str">
        <f aca="false">'Base Chapecó'!B11</f>
        <v>APS CONCÓRDIA</v>
      </c>
      <c r="C9" s="280" t="n">
        <f aca="false">VLOOKUP(B9,Unidades!$D$5:$G$28,4,)</f>
        <v>0.02</v>
      </c>
      <c r="D9" s="281" t="n">
        <f aca="false">'Base Chapecó'!AD11*12+'Base Chapecó'!AE11*4+'Base Chapecó'!AF11*2+'Base Chapecó'!AG11</f>
        <v>22320.6562328506</v>
      </c>
      <c r="E9" s="281" t="n">
        <f aca="false">'Base Chapecó'!AK11*12+'Base Chapecó'!AL11*4+'Base Chapecó'!AM11*2+'Base Chapecó'!AN11</f>
        <v>27282.5381134133</v>
      </c>
      <c r="G9" s="269" t="n">
        <v>0.035</v>
      </c>
      <c r="H9" s="282" t="n">
        <f aca="false">SUMIF(C$5:C$28,G9,D$5:D$28)</f>
        <v>0</v>
      </c>
      <c r="I9" s="282" t="n">
        <f aca="false">SUMIF(C$5:C$28,G9,E$5:E$28)</f>
        <v>0</v>
      </c>
      <c r="J9" s="282" t="n">
        <f aca="false">H9*4</f>
        <v>0</v>
      </c>
      <c r="K9" s="282" t="n">
        <f aca="false">I9*4</f>
        <v>0</v>
      </c>
      <c r="L9" s="283" t="n">
        <f aca="false">H9/H$14</f>
        <v>0</v>
      </c>
      <c r="M9" s="283" t="n">
        <f aca="false">I9/I$14</f>
        <v>0</v>
      </c>
      <c r="IO9" s="33"/>
    </row>
    <row r="10" s="29" customFormat="true" ht="15" hidden="false" customHeight="true" outlineLevel="0" collapsed="false">
      <c r="B10" s="125" t="str">
        <f aca="false">'Base Chapecó'!B12</f>
        <v>APS FRAIBURGO</v>
      </c>
      <c r="C10" s="280" t="n">
        <f aca="false">VLOOKUP(B10,Unidades!$D$5:$G$28,4,)</f>
        <v>0.02</v>
      </c>
      <c r="D10" s="281" t="n">
        <f aca="false">'Base Chapecó'!AD12*12+'Base Chapecó'!AE12*4+'Base Chapecó'!AF12*2+'Base Chapecó'!AG12</f>
        <v>19275.0372346284</v>
      </c>
      <c r="E10" s="281" t="n">
        <f aca="false">'Base Chapecó'!AK12*12+'Base Chapecó'!AL12*4+'Base Chapecó'!AM12*2+'Base Chapecó'!AN12</f>
        <v>23559.8780118864</v>
      </c>
      <c r="G10" s="269" t="n">
        <v>0.04</v>
      </c>
      <c r="H10" s="282" t="n">
        <f aca="false">SUMIF(C$5:C$28,G10,D$5:D$28)</f>
        <v>12231.5781112951</v>
      </c>
      <c r="I10" s="282" t="n">
        <f aca="false">SUMIF(C$5:C$28,G10,E$5:E$28)</f>
        <v>15273.5715875742</v>
      </c>
      <c r="J10" s="282" t="n">
        <f aca="false">H10*4</f>
        <v>48926.3124451805</v>
      </c>
      <c r="K10" s="282" t="n">
        <f aca="false">I10*4</f>
        <v>61094.2863502968</v>
      </c>
      <c r="L10" s="283" t="n">
        <f aca="false">H10/H$14</f>
        <v>0.0318511362315351</v>
      </c>
      <c r="M10" s="283" t="n">
        <f aca="false">I10/I$14</f>
        <v>0.0322607741636141</v>
      </c>
      <c r="IO10" s="33"/>
    </row>
    <row r="11" customFormat="false" ht="15" hidden="false" customHeight="true" outlineLevel="0" collapsed="false">
      <c r="B11" s="125" t="str">
        <f aca="false">'Base Chapecó'!B13</f>
        <v>APS JOAÇABA</v>
      </c>
      <c r="C11" s="280" t="n">
        <f aca="false">VLOOKUP(B11,Unidades!$D$5:$G$28,4,)</f>
        <v>0.03</v>
      </c>
      <c r="D11" s="281" t="n">
        <f aca="false">'Base Chapecó'!AD13*12+'Base Chapecó'!AE13*4+'Base Chapecó'!AF13*2+'Base Chapecó'!AG13</f>
        <v>22840.8296595173</v>
      </c>
      <c r="E11" s="281" t="n">
        <f aca="false">'Base Chapecó'!AK13*12+'Base Chapecó'!AL13*4+'Base Chapecó'!AM13*2+'Base Chapecó'!AN13</f>
        <v>28217.5609613676</v>
      </c>
      <c r="G11" s="269" t="n">
        <v>0.045</v>
      </c>
      <c r="H11" s="282" t="n">
        <f aca="false">SUMIF(C$5:C$28,G11,D$5:D$28)</f>
        <v>0</v>
      </c>
      <c r="I11" s="282" t="n">
        <f aca="false">SUMIF(C$5:C$28,G11,E$5:E$28)</f>
        <v>0</v>
      </c>
      <c r="J11" s="282" t="n">
        <f aca="false">H11*4</f>
        <v>0</v>
      </c>
      <c r="K11" s="282" t="n">
        <f aca="false">I11*4</f>
        <v>0</v>
      </c>
      <c r="L11" s="283" t="n">
        <f aca="false">H11/H$14</f>
        <v>0</v>
      </c>
      <c r="M11" s="283" t="n">
        <f aca="false">I11/I$14</f>
        <v>0</v>
      </c>
    </row>
    <row r="12" customFormat="false" ht="15" hidden="false" customHeight="true" outlineLevel="0" collapsed="false">
      <c r="B12" s="125" t="str">
        <f aca="false">'Base Chapecó'!B14</f>
        <v>APS MARAVILHA</v>
      </c>
      <c r="C12" s="280" t="n">
        <f aca="false">VLOOKUP(B12,Unidades!$D$5:$G$28,4,)</f>
        <v>0.04</v>
      </c>
      <c r="D12" s="281" t="n">
        <f aca="false">'Base Chapecó'!AD14*12+'Base Chapecó'!AE14*4+'Base Chapecó'!AF14*2+'Base Chapecó'!AG14</f>
        <v>12231.5781112951</v>
      </c>
      <c r="E12" s="281" t="n">
        <f aca="false">'Base Chapecó'!AK14*12+'Base Chapecó'!AL14*4+'Base Chapecó'!AM14*2+'Base Chapecó'!AN14</f>
        <v>15273.5715875742</v>
      </c>
      <c r="G12" s="269" t="n">
        <v>0.05</v>
      </c>
      <c r="H12" s="282" t="n">
        <f aca="false">SUMIF(C$5:C$28,G12,D$5:D$28)</f>
        <v>50976.0721881878</v>
      </c>
      <c r="I12" s="282" t="n">
        <f aca="false">SUMIF(C$5:C$28,G12,E$5:E$28)</f>
        <v>64352.1935303683</v>
      </c>
      <c r="J12" s="282" t="n">
        <f aca="false">H12*4</f>
        <v>203904.288752751</v>
      </c>
      <c r="K12" s="282" t="n">
        <f aca="false">I12*4</f>
        <v>257408.774121473</v>
      </c>
      <c r="L12" s="283" t="n">
        <f aca="false">H12/H$14</f>
        <v>0.132742137199386</v>
      </c>
      <c r="M12" s="283" t="n">
        <f aca="false">I12/I$14</f>
        <v>0.135924434603454</v>
      </c>
    </row>
    <row r="13" s="16" customFormat="true" ht="15" hidden="false" customHeight="true" outlineLevel="0" collapsed="false">
      <c r="B13" s="125" t="str">
        <f aca="false">'Base Chapecó'!B15</f>
        <v>APS PINHALZINHO</v>
      </c>
      <c r="C13" s="280" t="n">
        <f aca="false">VLOOKUP(B13,Unidades!$D$5:$G$28,4,)</f>
        <v>0.02</v>
      </c>
      <c r="D13" s="281" t="n">
        <f aca="false">'Base Chapecó'!AD15*12+'Base Chapecó'!AE15*4+'Base Chapecó'!AF15*2+'Base Chapecó'!AG15</f>
        <v>12231.5781112951</v>
      </c>
      <c r="E13" s="281" t="n">
        <f aca="false">'Base Chapecó'!AK15*12+'Base Chapecó'!AL15*4+'Base Chapecó'!AM15*2+'Base Chapecó'!AN15</f>
        <v>14950.657925436</v>
      </c>
      <c r="G13" s="17"/>
    </row>
    <row r="14" s="16" customFormat="true" ht="15" hidden="false" customHeight="true" outlineLevel="0" collapsed="false">
      <c r="B14" s="125" t="str">
        <f aca="false">'Base Chapecó'!B16</f>
        <v>APS SÃO MIGUEL D OESTE</v>
      </c>
      <c r="C14" s="280" t="n">
        <f aca="false">VLOOKUP(B14,Unidades!$D$5:$G$28,4,)</f>
        <v>0.025</v>
      </c>
      <c r="D14" s="281" t="n">
        <f aca="false">'Base Chapecó'!AD16*12+'Base Chapecó'!AE16*4+'Base Chapecó'!AF16*2+'Base Chapecó'!AG16</f>
        <v>18942.9642509295</v>
      </c>
      <c r="E14" s="281" t="n">
        <f aca="false">'Base Chapecó'!AK16*12+'Base Chapecó'!AL16*4+'Base Chapecó'!AM16*2+'Base Chapecó'!AN16</f>
        <v>23277.1144715422</v>
      </c>
      <c r="G14" s="278" t="s">
        <v>100</v>
      </c>
      <c r="H14" s="284" t="n">
        <f aca="false">SUM(H5:H12)</f>
        <v>384023.289542333</v>
      </c>
      <c r="I14" s="284" t="n">
        <f aca="false">SUM(I5:I12)</f>
        <v>473440.950614284</v>
      </c>
      <c r="J14" s="284" t="n">
        <f aca="false">SUM(J5:J12)</f>
        <v>1536093.15816933</v>
      </c>
      <c r="K14" s="284" t="n">
        <f aca="false">SUM(K5:K12)</f>
        <v>1893763.80245714</v>
      </c>
      <c r="L14" s="285" t="n">
        <f aca="false">SUM(L5:L12)</f>
        <v>1</v>
      </c>
      <c r="M14" s="285" t="n">
        <f aca="false">SUM(M5:M12)</f>
        <v>1</v>
      </c>
    </row>
    <row r="15" s="16" customFormat="true" ht="15" hidden="false" customHeight="true" outlineLevel="0" collapsed="false">
      <c r="B15" s="125" t="str">
        <f aca="false">'Base Chapecó'!B17</f>
        <v>APS VIDEIRA</v>
      </c>
      <c r="C15" s="280" t="n">
        <f aca="false">VLOOKUP(B15,Unidades!$D$5:$G$28,4,)</f>
        <v>0.02</v>
      </c>
      <c r="D15" s="281" t="n">
        <f aca="false">'Base Chapecó'!AD17*12+'Base Chapecó'!AE17*4+'Base Chapecó'!AF17*2+'Base Chapecó'!AG17</f>
        <v>23952.1092528506</v>
      </c>
      <c r="E15" s="281" t="n">
        <f aca="false">'Base Chapecó'!AK17*12+'Base Chapecó'!AL17*4+'Base Chapecó'!AM17*2+'Base Chapecó'!AN17</f>
        <v>29276.6631397593</v>
      </c>
    </row>
    <row r="16" s="16" customFormat="true" ht="15" hidden="false" customHeight="true" outlineLevel="0" collapsed="false">
      <c r="B16" s="125" t="str">
        <f aca="false">'Base Chapecó'!B18</f>
        <v>APS XANXERÊ</v>
      </c>
      <c r="C16" s="280" t="n">
        <f aca="false">VLOOKUP(B16,Unidades!$D$5:$G$28,4,)</f>
        <v>0.03</v>
      </c>
      <c r="D16" s="281" t="n">
        <f aca="false">'Base Chapecó'!AD18*12+'Base Chapecó'!AE18*4+'Base Chapecó'!AF18*2+'Base Chapecó'!AG18</f>
        <v>15939.2360161839</v>
      </c>
      <c r="E16" s="281" t="n">
        <f aca="false">'Base Chapecó'!AK18*12+'Base Chapecó'!AL18*4+'Base Chapecó'!AM18*2+'Base Chapecó'!AN18</f>
        <v>19691.3321743936</v>
      </c>
    </row>
    <row r="17" s="16" customFormat="true" ht="15" hidden="false" customHeight="true" outlineLevel="0" collapsed="false">
      <c r="B17" s="125" t="str">
        <f aca="false">'Base Chapecó'!B19</f>
        <v>APS XAXIM</v>
      </c>
      <c r="C17" s="280" t="n">
        <f aca="false">VLOOKUP(B17,Unidades!$D$5:$G$28,4,)</f>
        <v>0.03</v>
      </c>
      <c r="D17" s="281" t="n">
        <f aca="false">'Base Chapecó'!AD19*12+'Base Chapecó'!AE19*4+'Base Chapecó'!AF19*2+'Base Chapecó'!AG19</f>
        <v>9868.42960556996</v>
      </c>
      <c r="E17" s="281" t="n">
        <f aca="false">'Base Chapecó'!AK19*12+'Base Chapecó'!AL19*4+'Base Chapecó'!AM19*2+'Base Chapecó'!AN19</f>
        <v>12191.4579347211</v>
      </c>
    </row>
    <row r="18" s="16" customFormat="true" ht="15" hidden="false" customHeight="true" outlineLevel="0" collapsed="false">
      <c r="B18" s="125" t="str">
        <f aca="false">'Base Chapecó'!B20</f>
        <v>GEX CHAPECÓ</v>
      </c>
      <c r="C18" s="280" t="n">
        <f aca="false">VLOOKUP(B18,Unidades!$D$5:$G$28,4,)</f>
        <v>0.02</v>
      </c>
      <c r="D18" s="281" t="n">
        <f aca="false">'Base Chapecó'!AD20*12+'Base Chapecó'!AE20*4+'Base Chapecó'!AF20*2+'Base Chapecó'!AG20</f>
        <v>14686.0909428506</v>
      </c>
      <c r="E18" s="281" t="n">
        <f aca="false">'Base Chapecó'!AK20*12+'Base Chapecó'!AL20*4+'Base Chapecó'!AM20*2+'Base Chapecó'!AN20</f>
        <v>17950.8089594463</v>
      </c>
    </row>
    <row r="19" s="29" customFormat="true" ht="15" hidden="false" customHeight="true" outlineLevel="0" collapsed="false">
      <c r="B19" s="125" t="str">
        <f aca="false">'Base Pato Branco'!B7</f>
        <v>APS CORONEL VIVIDA</v>
      </c>
      <c r="C19" s="280" t="n">
        <f aca="false">VLOOKUP(B19,Unidades!$D$5:$G$28,4,)</f>
        <v>0.05</v>
      </c>
      <c r="D19" s="281" t="n">
        <f aca="false">'Base Pato Branco'!AD7*12+'Base Pato Branco'!AE7*4+'Base Pato Branco'!AF7*2+'Base Pato Branco'!AG7</f>
        <v>10399.0718671533</v>
      </c>
      <c r="E19" s="281" t="n">
        <f aca="false">'Base Pato Branco'!AK7*12+'Base Pato Branco'!AL7*4+'Base Pato Branco'!AM7*2+'Base Pato Branco'!AN7</f>
        <v>13127.7883250943</v>
      </c>
      <c r="G19" s="16"/>
      <c r="H19" s="16"/>
      <c r="I19" s="16"/>
      <c r="J19" s="16"/>
      <c r="K19" s="16"/>
      <c r="L19" s="16"/>
      <c r="M19" s="16"/>
    </row>
    <row r="20" s="16" customFormat="true" ht="15" hidden="false" customHeight="true" outlineLevel="0" collapsed="false">
      <c r="B20" s="125" t="str">
        <f aca="false">'Base Pato Branco'!B8</f>
        <v>APS DOIS VIZINHOS</v>
      </c>
      <c r="C20" s="280" t="n">
        <f aca="false">VLOOKUP(B20,Unidades!$D$5:$G$28,4,)</f>
        <v>0.03</v>
      </c>
      <c r="D20" s="281" t="n">
        <f aca="false">'Base Pato Branco'!AD8*12+'Base Pato Branco'!AE8*4+'Base Pato Branco'!AF8*2+'Base Pato Branco'!AG8</f>
        <v>11648.4731146533</v>
      </c>
      <c r="E20" s="281" t="n">
        <f aca="false">'Base Pato Branco'!AK8*12+'Base Pato Branco'!AL8*4+'Base Pato Branco'!AM8*2+'Base Pato Branco'!AN8</f>
        <v>14390.5236858427</v>
      </c>
      <c r="G20" s="29"/>
      <c r="H20" s="29"/>
      <c r="I20" s="29"/>
      <c r="J20" s="29"/>
      <c r="K20" s="29"/>
      <c r="L20" s="29"/>
      <c r="M20" s="29"/>
    </row>
    <row r="21" customFormat="false" ht="15" hidden="false" customHeight="true" outlineLevel="0" collapsed="false">
      <c r="B21" s="125" t="str">
        <f aca="false">'Base Pato Branco'!B9</f>
        <v>APS FRANCISCO BELTRÃO</v>
      </c>
      <c r="C21" s="280" t="n">
        <f aca="false">VLOOKUP(B21,Unidades!$D$5:$G$28,4,)</f>
        <v>0.05</v>
      </c>
      <c r="D21" s="281" t="n">
        <f aca="false">'Base Pato Branco'!AD9*12+'Base Pato Branco'!AE9*4+'Base Pato Branco'!AF9*2+'Base Pato Branco'!AG9</f>
        <v>17736.1706615173</v>
      </c>
      <c r="E21" s="281" t="n">
        <f aca="false">'Base Pato Branco'!AK9*12+'Base Pato Branco'!AL9*4+'Base Pato Branco'!AM9*2+'Base Pato Branco'!AN9</f>
        <v>22390.1418430994</v>
      </c>
    </row>
    <row r="22" customFormat="false" ht="15" hidden="false" customHeight="true" outlineLevel="0" collapsed="false">
      <c r="B22" s="125" t="str">
        <f aca="false">'Base Pato Branco'!B10</f>
        <v>APS MANGUEIRINHA</v>
      </c>
      <c r="C22" s="280" t="n">
        <f aca="false">VLOOKUP(B22,Unidades!$D$5:$G$28,4,)</f>
        <v>0.03</v>
      </c>
      <c r="D22" s="281" t="n">
        <f aca="false">'Base Pato Branco'!AD10*12+'Base Pato Branco'!AE10*4+'Base Pato Branco'!AF10*2+'Base Pato Branco'!AG10</f>
        <v>10399.0718671533</v>
      </c>
      <c r="E22" s="281" t="n">
        <f aca="false">'Base Pato Branco'!AK10*12+'Base Pato Branco'!AL10*4+'Base Pato Branco'!AM10*2+'Base Pato Branco'!AN10</f>
        <v>12847.0133846812</v>
      </c>
    </row>
    <row r="23" customFormat="false" ht="15" hidden="false" customHeight="true" outlineLevel="0" collapsed="false">
      <c r="B23" s="125" t="str">
        <f aca="false">'Base Pato Branco'!B11</f>
        <v>APS PALMAS</v>
      </c>
      <c r="C23" s="280" t="n">
        <f aca="false">VLOOKUP(B23,Unidades!$D$5:$G$28,4,)</f>
        <v>0.03</v>
      </c>
      <c r="D23" s="281" t="n">
        <f aca="false">'Base Pato Branco'!AD11*12+'Base Pato Branco'!AE11*4+'Base Pato Branco'!AF11*2+'Base Pato Branco'!AG11</f>
        <v>12636.0950531533</v>
      </c>
      <c r="E23" s="281" t="n">
        <f aca="false">'Base Pato Branco'!AK11*12+'Base Pato Branco'!AL11*4+'Base Pato Branco'!AM11*2+'Base Pato Branco'!AN11</f>
        <v>15610.6318286656</v>
      </c>
    </row>
    <row r="24" customFormat="false" ht="15" hidden="false" customHeight="true" outlineLevel="0" collapsed="false">
      <c r="B24" s="125" t="str">
        <f aca="false">'Base Pato Branco'!B12</f>
        <v>APS PATO BRANCO</v>
      </c>
      <c r="C24" s="280" t="n">
        <f aca="false">VLOOKUP(B24,Unidades!$D$5:$G$28,4,)</f>
        <v>0.02</v>
      </c>
      <c r="D24" s="281" t="n">
        <f aca="false">'Base Pato Branco'!AD12*12+'Base Pato Branco'!AE12*4+'Base Pato Branco'!AF12*2+'Base Pato Branco'!AG12</f>
        <v>14130.9700407921</v>
      </c>
      <c r="E24" s="281" t="n">
        <f aca="false">'Base Pato Branco'!AK12*12+'Base Pato Branco'!AL12*4+'Base Pato Branco'!AM12*2+'Base Pato Branco'!AN12</f>
        <v>17272.2846808602</v>
      </c>
    </row>
    <row r="25" customFormat="false" ht="15" hidden="false" customHeight="true" outlineLevel="0" collapsed="false">
      <c r="B25" s="125" t="str">
        <f aca="false">'Base Pato Branco'!B13</f>
        <v>APS REALEZA</v>
      </c>
      <c r="C25" s="280" t="n">
        <f aca="false">VLOOKUP(B25,Unidades!$D$5:$G$28,4,)</f>
        <v>0.03</v>
      </c>
      <c r="D25" s="281" t="n">
        <f aca="false">'Base Pato Branco'!AD13*12+'Base Pato Branco'!AE13*4+'Base Pato Branco'!AF13*2+'Base Pato Branco'!AG13</f>
        <v>11648.4731146533</v>
      </c>
      <c r="E25" s="281" t="n">
        <f aca="false">'Base Pato Branco'!AK13*12+'Base Pato Branco'!AL13*4+'Base Pato Branco'!AM13*2+'Base Pato Branco'!AN13</f>
        <v>14390.5236858427</v>
      </c>
    </row>
    <row r="26" customFormat="false" ht="15" hidden="false" customHeight="true" outlineLevel="0" collapsed="false">
      <c r="B26" s="125" t="str">
        <f aca="false">'Base Pato Branco'!B14</f>
        <v>APS STO. ANTÔNIO DO SUDOESTE</v>
      </c>
      <c r="C26" s="280" t="n">
        <f aca="false">VLOOKUP(B26,Unidades!$D$5:$G$28,4,)</f>
        <v>0.03</v>
      </c>
      <c r="D26" s="281" t="n">
        <f aca="false">'Base Pato Branco'!AD14*12+'Base Pato Branco'!AE14*4+'Base Pato Branco'!AF14*2+'Base Pato Branco'!AG14</f>
        <v>12017.3439591533</v>
      </c>
      <c r="E26" s="281" t="n">
        <f aca="false">'Base Pato Branco'!AK14*12+'Base Pato Branco'!AL14*4+'Base Pato Branco'!AM14*2+'Base Pato Branco'!AN14</f>
        <v>14846.226727138</v>
      </c>
    </row>
    <row r="27" customFormat="false" ht="15" hidden="false" customHeight="true" outlineLevel="0" collapsed="false">
      <c r="B27" s="125" t="str">
        <f aca="false">'Base Pato Branco'!B15</f>
        <v>APS DIONÍSIO CERQUEIRA</v>
      </c>
      <c r="C27" s="280" t="n">
        <f aca="false">VLOOKUP(B27,Unidades!$D$5:$G$28,4,)</f>
        <v>0.03</v>
      </c>
      <c r="D27" s="281" t="n">
        <f aca="false">'Base Pato Branco'!AD15*12+'Base Pato Branco'!AE15*4+'Base Pato Branco'!AF15*2+'Base Pato Branco'!AG15</f>
        <v>12017.3439591533</v>
      </c>
      <c r="E27" s="281" t="n">
        <f aca="false">'Base Pato Branco'!AK15*12+'Base Pato Branco'!AL15*4+'Base Pato Branco'!AM15*2+'Base Pato Branco'!AN15</f>
        <v>14846.226727138</v>
      </c>
    </row>
    <row r="28" customFormat="false" ht="15" hidden="false" customHeight="true" outlineLevel="0" collapsed="false">
      <c r="B28" s="125" t="str">
        <f aca="false">'Base Pato Branco'!B16</f>
        <v>APS SÃO L. DO OESTE</v>
      </c>
      <c r="C28" s="280" t="n">
        <f aca="false">VLOOKUP(B28,Unidades!$D$5:$G$28,4,)</f>
        <v>0.02</v>
      </c>
      <c r="D28" s="281" t="n">
        <f aca="false">'Base Pato Branco'!AD16*12+'Base Pato Branco'!AE16*4+'Base Pato Branco'!AF16*2+'Base Pato Branco'!AG16</f>
        <v>12722.8950737995</v>
      </c>
      <c r="E28" s="281" t="n">
        <f aca="false">'Base Pato Branco'!AK16*12+'Base Pato Branco'!AL16*4+'Base Pato Branco'!AM16*2+'Base Pato Branco'!AN16</f>
        <v>15551.1946487051</v>
      </c>
    </row>
    <row r="29" customFormat="false" ht="15" hidden="false" customHeight="false" outlineLevel="0" collapsed="false">
      <c r="B29" s="277" t="s">
        <v>100</v>
      </c>
      <c r="C29" s="277"/>
      <c r="D29" s="286" t="n">
        <f aca="false">SUM(D5:D28)</f>
        <v>384023.289542333</v>
      </c>
      <c r="E29" s="286" t="n">
        <f aca="false">SUM(E5:E28)</f>
        <v>473440.950614284</v>
      </c>
    </row>
  </sheetData>
  <mergeCells count="2">
    <mergeCell ref="B2:M2"/>
    <mergeCell ref="B29:C29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IP40"/>
  <sheetViews>
    <sheetView showFormulas="false" showGridLines="false" showRowColHeaders="true" showZeros="true" rightToLeft="false" tabSelected="false" showOutlineSymbols="true" defaultGridColor="true" view="normal" topLeftCell="A6" colorId="64" zoomScale="100" zoomScaleNormal="100" zoomScalePageLayoutView="100" workbookViewId="0">
      <selection pane="topLeft" activeCell="G8" activeCellId="0" sqref="G8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38"/>
    <col collapsed="false" customWidth="true" hidden="false" outlineLevel="0" max="4" min="3" style="16" width="14.75"/>
    <col collapsed="false" customWidth="true" hidden="false" outlineLevel="0" max="5" min="5" style="16" width="15.62"/>
    <col collapsed="false" customWidth="true" hidden="false" outlineLevel="0" max="6" min="6" style="16" width="13.76"/>
    <col collapsed="false" customWidth="true" hidden="false" outlineLevel="0" max="7" min="7" style="16" width="14.87"/>
    <col collapsed="false" customWidth="true" hidden="false" outlineLevel="0" max="8" min="8" style="16" width="14.38"/>
    <col collapsed="false" customWidth="true" hidden="false" outlineLevel="0" max="9" min="9" style="17" width="14"/>
    <col collapsed="false" customWidth="true" hidden="false" outlineLevel="0" max="10" min="10" style="16" width="14.87"/>
    <col collapsed="false" customWidth="true" hidden="false" outlineLevel="0" max="249" min="11" style="16" width="10.62"/>
    <col collapsed="false" customWidth="true" hidden="false" outlineLevel="0" max="1019" min="250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"PLANILHA RESUMO "&amp;'Valor da Contratação'!B7&amp;""</f>
        <v>PLANILHA RESUMO POLO VI</v>
      </c>
      <c r="C2" s="18"/>
      <c r="D2" s="18"/>
      <c r="E2" s="18"/>
      <c r="F2" s="18"/>
      <c r="G2" s="18"/>
      <c r="H2" s="18"/>
      <c r="I2" s="18"/>
      <c r="J2" s="19"/>
    </row>
    <row r="3" customFormat="false" ht="15" hidden="false" customHeight="true" outlineLevel="0" collapsed="false">
      <c r="B3" s="2"/>
      <c r="H3" s="2"/>
      <c r="I3" s="20"/>
    </row>
    <row r="4" customFormat="false" ht="46.5" hidden="false" customHeight="true" outlineLevel="0" collapsed="false">
      <c r="B4" s="21" t="s">
        <v>13</v>
      </c>
      <c r="C4" s="21" t="s">
        <v>14</v>
      </c>
      <c r="D4" s="21" t="s">
        <v>15</v>
      </c>
      <c r="E4" s="21" t="s">
        <v>16</v>
      </c>
      <c r="F4" s="21" t="s">
        <v>17</v>
      </c>
      <c r="G4" s="21" t="s">
        <v>18</v>
      </c>
      <c r="H4" s="21" t="s">
        <v>19</v>
      </c>
      <c r="I4" s="21" t="s">
        <v>20</v>
      </c>
    </row>
    <row r="5" customFormat="false" ht="19.5" hidden="false" customHeight="true" outlineLevel="0" collapsed="false">
      <c r="B5" s="22" t="s">
        <v>21</v>
      </c>
      <c r="C5" s="23" t="n">
        <f aca="false">'Base Chapecó'!C21</f>
        <v>19116.4</v>
      </c>
      <c r="D5" s="24" t="n">
        <f aca="false">'Base Chapecó'!AT10</f>
        <v>26514.0329231014</v>
      </c>
      <c r="E5" s="24" t="n">
        <f aca="false">D5*12</f>
        <v>318168.395077217</v>
      </c>
      <c r="F5" s="24" t="n">
        <f aca="false">'Base Chapecó'!AT12</f>
        <v>69900.6322518128</v>
      </c>
      <c r="G5" s="24" t="n">
        <f aca="false">F5*12</f>
        <v>838807.587021754</v>
      </c>
      <c r="H5" s="24" t="n">
        <f aca="false">D5+F5</f>
        <v>96414.6651749142</v>
      </c>
      <c r="I5" s="24" t="n">
        <f aca="false">H5*12</f>
        <v>1156975.98209897</v>
      </c>
    </row>
    <row r="6" customFormat="false" ht="19.5" hidden="false" customHeight="true" outlineLevel="0" collapsed="false">
      <c r="B6" s="22" t="s">
        <v>22</v>
      </c>
      <c r="C6" s="23" t="n">
        <f aca="false">'Base Pato Branco'!C17</f>
        <v>7311.3</v>
      </c>
      <c r="D6" s="24" t="n">
        <f aca="false">'Base Pato Branco'!AT10</f>
        <v>12939.3796280889</v>
      </c>
      <c r="E6" s="24" t="n">
        <f aca="false">D6*12</f>
        <v>155272.555537067</v>
      </c>
      <c r="F6" s="24" t="n">
        <f aca="false">'Base Pato Branco'!AT12</f>
        <v>34112.9099285981</v>
      </c>
      <c r="G6" s="24" t="n">
        <f aca="false">F6*12</f>
        <v>409354.919143177</v>
      </c>
      <c r="H6" s="24" t="n">
        <f aca="false">D6+F6</f>
        <v>47052.289556687</v>
      </c>
      <c r="I6" s="24" t="n">
        <f aca="false">H6*12</f>
        <v>564627.474680244</v>
      </c>
    </row>
    <row r="7" customFormat="false" ht="19.5" hidden="false" customHeight="true" outlineLevel="0" collapsed="false">
      <c r="B7" s="25" t="str">
        <f aca="false">"TOTAL "&amp;'Valor da Contratação'!B7&amp;""</f>
        <v>TOTAL POLO VI</v>
      </c>
      <c r="C7" s="26" t="n">
        <f aca="false">SUM(C5:C6)</f>
        <v>26427.7</v>
      </c>
      <c r="D7" s="27" t="n">
        <f aca="false">SUM(D5:D6)</f>
        <v>39453.4125511903</v>
      </c>
      <c r="E7" s="27" t="n">
        <f aca="false">SUM(E5:E6)</f>
        <v>473440.950614284</v>
      </c>
      <c r="F7" s="27" t="n">
        <f aca="false">SUM(F5:F6)</f>
        <v>104013.542180411</v>
      </c>
      <c r="G7" s="27" t="n">
        <f aca="false">SUM(G5:G6)</f>
        <v>1248162.50616493</v>
      </c>
      <c r="H7" s="27" t="n">
        <f aca="false">SUM(H5:H6)</f>
        <v>143466.954731601</v>
      </c>
      <c r="I7" s="27" t="n">
        <f aca="false">SUM(I5:I6)</f>
        <v>1721603.45677921</v>
      </c>
    </row>
    <row r="8" customFormat="false" ht="24.75" hidden="false" customHeight="true" outlineLevel="0" collapsed="false">
      <c r="B8" s="2"/>
      <c r="C8" s="2"/>
      <c r="D8" s="2"/>
      <c r="E8" s="2"/>
      <c r="F8" s="2"/>
      <c r="G8" s="28"/>
      <c r="H8" s="2"/>
      <c r="I8" s="20"/>
    </row>
    <row r="9" s="29" customFormat="true" ht="27" hidden="false" customHeight="true" outlineLevel="0" collapsed="false">
      <c r="B9" s="30" t="str">
        <f aca="false">"BASE "&amp;B5</f>
        <v>BASE CHAPECÓ</v>
      </c>
      <c r="C9" s="31" t="s">
        <v>23</v>
      </c>
      <c r="D9" s="31"/>
      <c r="E9" s="31"/>
      <c r="F9" s="31" t="s">
        <v>24</v>
      </c>
      <c r="G9" s="31"/>
      <c r="H9" s="31"/>
      <c r="I9" s="32" t="s">
        <v>25</v>
      </c>
      <c r="IP9" s="33"/>
    </row>
    <row r="10" s="29" customFormat="true" ht="22.5" hidden="false" customHeight="true" outlineLevel="0" collapsed="false">
      <c r="B10" s="30"/>
      <c r="C10" s="34" t="s">
        <v>26</v>
      </c>
      <c r="D10" s="34" t="s">
        <v>27</v>
      </c>
      <c r="E10" s="34" t="s">
        <v>28</v>
      </c>
      <c r="F10" s="35" t="s">
        <v>26</v>
      </c>
      <c r="G10" s="35" t="s">
        <v>27</v>
      </c>
      <c r="H10" s="35" t="s">
        <v>28</v>
      </c>
      <c r="I10" s="35" t="s">
        <v>29</v>
      </c>
      <c r="IP10" s="33"/>
    </row>
    <row r="11" customFormat="false" ht="16.5" hidden="false" customHeight="true" outlineLevel="0" collapsed="false">
      <c r="B11" s="22" t="str">
        <f aca="false">'Base Chapecó'!B7</f>
        <v>APS CAÇADOR</v>
      </c>
      <c r="C11" s="24" t="n">
        <f aca="false">'Base Chapecó'!AO7</f>
        <v>2995.88915696749</v>
      </c>
      <c r="D11" s="24" t="n">
        <f aca="false">C11*3</f>
        <v>8987.66747090246</v>
      </c>
      <c r="E11" s="24" t="n">
        <f aca="false">C11+D11</f>
        <v>11983.55662787</v>
      </c>
      <c r="F11" s="24" t="n">
        <f aca="false">C11*12</f>
        <v>35950.6698836099</v>
      </c>
      <c r="G11" s="24" t="n">
        <f aca="false">F11*3</f>
        <v>107852.00965083</v>
      </c>
      <c r="H11" s="24" t="n">
        <f aca="false">F11+G11</f>
        <v>143802.679534439</v>
      </c>
      <c r="I11" s="36" t="n">
        <f aca="false">F11/$E$7</f>
        <v>0.0759348548894308</v>
      </c>
    </row>
    <row r="12" customFormat="false" ht="16.5" hidden="false" customHeight="true" outlineLevel="0" collapsed="false">
      <c r="B12" s="22" t="str">
        <f aca="false">'Base Chapecó'!B8</f>
        <v>APS CAMPOS NOVOS</v>
      </c>
      <c r="C12" s="24" t="n">
        <f aca="false">'Base Chapecó'!AO8</f>
        <v>2402.85528018122</v>
      </c>
      <c r="D12" s="24" t="n">
        <f aca="false">C12*3</f>
        <v>7208.56584054365</v>
      </c>
      <c r="E12" s="24" t="n">
        <f aca="false">C12+D12</f>
        <v>9611.42112072487</v>
      </c>
      <c r="F12" s="24" t="n">
        <f aca="false">C12*12</f>
        <v>28834.2633621746</v>
      </c>
      <c r="G12" s="24" t="n">
        <f aca="false">F12*3</f>
        <v>86502.7900865238</v>
      </c>
      <c r="H12" s="24" t="n">
        <f aca="false">F12+G12</f>
        <v>115337.053448698</v>
      </c>
      <c r="I12" s="36" t="n">
        <f aca="false">F12/$E$7</f>
        <v>0.0609036107349026</v>
      </c>
    </row>
    <row r="13" customFormat="false" ht="16.5" hidden="false" customHeight="true" outlineLevel="0" collapsed="false">
      <c r="B13" s="22" t="str">
        <f aca="false">'Base Chapecó'!B9</f>
        <v>APS CAPINZAL</v>
      </c>
      <c r="C13" s="24" t="n">
        <f aca="false">'Base Chapecó'!AO9</f>
        <v>1980.08913270384</v>
      </c>
      <c r="D13" s="24" t="n">
        <f aca="false">C13*3</f>
        <v>5940.26739811153</v>
      </c>
      <c r="E13" s="24" t="n">
        <f aca="false">C13+D13</f>
        <v>7920.35653081537</v>
      </c>
      <c r="F13" s="24" t="n">
        <f aca="false">C13*12</f>
        <v>23761.0695924461</v>
      </c>
      <c r="G13" s="24" t="n">
        <f aca="false">F13*3</f>
        <v>71283.2087773384</v>
      </c>
      <c r="H13" s="24" t="n">
        <f aca="false">F13+G13</f>
        <v>95044.2783697845</v>
      </c>
      <c r="I13" s="36" t="n">
        <f aca="false">F13/$E$7</f>
        <v>0.05018803202726</v>
      </c>
    </row>
    <row r="14" customFormat="false" ht="16.5" hidden="false" customHeight="true" outlineLevel="0" collapsed="false">
      <c r="B14" s="22" t="str">
        <f aca="false">'Base Chapecó'!B10</f>
        <v>APS CHAPECÓ</v>
      </c>
      <c r="C14" s="24" t="n">
        <f aca="false">'Base Chapecó'!AO10</f>
        <v>1495.90074662052</v>
      </c>
      <c r="D14" s="24" t="n">
        <f aca="false">C14*3</f>
        <v>4487.70223986157</v>
      </c>
      <c r="E14" s="24" t="n">
        <f aca="false">C14+D14</f>
        <v>5983.6029864821</v>
      </c>
      <c r="F14" s="24" t="n">
        <f aca="false">C14*12</f>
        <v>17950.8089594463</v>
      </c>
      <c r="G14" s="24" t="n">
        <f aca="false">F14*3</f>
        <v>53852.4268783389</v>
      </c>
      <c r="H14" s="24" t="n">
        <f aca="false">F14+G14</f>
        <v>71803.2358377851</v>
      </c>
      <c r="I14" s="36" t="n">
        <f aca="false">F14/$E$7</f>
        <v>0.0379156237671357</v>
      </c>
    </row>
    <row r="15" customFormat="false" ht="16.5" hidden="false" customHeight="true" outlineLevel="0" collapsed="false">
      <c r="B15" s="22" t="str">
        <f aca="false">'Base Chapecó'!B11</f>
        <v>APS CONCÓRDIA</v>
      </c>
      <c r="C15" s="24" t="n">
        <f aca="false">'Base Chapecó'!AO11</f>
        <v>2273.54484278444</v>
      </c>
      <c r="D15" s="24" t="n">
        <f aca="false">C15*3</f>
        <v>6820.63452835332</v>
      </c>
      <c r="E15" s="24" t="n">
        <f aca="false">C15+D15</f>
        <v>9094.17937113776</v>
      </c>
      <c r="F15" s="24" t="n">
        <f aca="false">C15*12</f>
        <v>27282.5381134133</v>
      </c>
      <c r="G15" s="24" t="n">
        <f aca="false">F15*3</f>
        <v>81847.6143402398</v>
      </c>
      <c r="H15" s="24" t="n">
        <f aca="false">F15+G15</f>
        <v>109130.152453653</v>
      </c>
      <c r="I15" s="36" t="n">
        <f aca="false">F15/$E$7</f>
        <v>0.0576260631405342</v>
      </c>
    </row>
    <row r="16" customFormat="false" ht="16.5" hidden="false" customHeight="true" outlineLevel="0" collapsed="false">
      <c r="B16" s="22" t="str">
        <f aca="false">'Base Chapecó'!B12</f>
        <v>APS FRAIBURGO</v>
      </c>
      <c r="C16" s="24" t="n">
        <f aca="false">'Base Chapecó'!AO12</f>
        <v>1963.3231676572</v>
      </c>
      <c r="D16" s="24" t="n">
        <f aca="false">C16*3</f>
        <v>5889.96950297159</v>
      </c>
      <c r="E16" s="24" t="n">
        <f aca="false">C16+D16</f>
        <v>7853.29267062878</v>
      </c>
      <c r="F16" s="24" t="n">
        <f aca="false">C16*12</f>
        <v>23559.8780118864</v>
      </c>
      <c r="G16" s="24" t="n">
        <f aca="false">F16*3</f>
        <v>70679.6340356591</v>
      </c>
      <c r="H16" s="24" t="n">
        <f aca="false">F16+G16</f>
        <v>94239.5120475454</v>
      </c>
      <c r="I16" s="36" t="n">
        <f aca="false">F16/$E$7</f>
        <v>0.049763076010467</v>
      </c>
    </row>
    <row r="17" customFormat="false" ht="16.5" hidden="false" customHeight="true" outlineLevel="0" collapsed="false">
      <c r="B17" s="22" t="str">
        <f aca="false">'Base Chapecó'!B13</f>
        <v>APS JOAÇABA</v>
      </c>
      <c r="C17" s="24" t="n">
        <f aca="false">'Base Chapecó'!AO13</f>
        <v>2351.4634134473</v>
      </c>
      <c r="D17" s="24" t="n">
        <f aca="false">C17*3</f>
        <v>7054.39024034191</v>
      </c>
      <c r="E17" s="24" t="n">
        <f aca="false">C17+D17</f>
        <v>9405.85365378921</v>
      </c>
      <c r="F17" s="24" t="n">
        <f aca="false">C17*12</f>
        <v>28217.5609613676</v>
      </c>
      <c r="G17" s="24" t="n">
        <f aca="false">F17*3</f>
        <v>84652.6828841029</v>
      </c>
      <c r="H17" s="24" t="n">
        <f aca="false">F17+G17</f>
        <v>112870.243845471</v>
      </c>
      <c r="I17" s="36" t="n">
        <f aca="false">F17/$E$7</f>
        <v>0.0596010144977017</v>
      </c>
    </row>
    <row r="18" customFormat="false" ht="16.5" hidden="false" customHeight="true" outlineLevel="0" collapsed="false">
      <c r="B18" s="22" t="str">
        <f aca="false">'Base Chapecó'!B14</f>
        <v>APS MARAVILHA</v>
      </c>
      <c r="C18" s="24" t="n">
        <f aca="false">'Base Chapecó'!AO14</f>
        <v>1272.79763229785</v>
      </c>
      <c r="D18" s="24" t="n">
        <f aca="false">C18*3</f>
        <v>3818.39289689355</v>
      </c>
      <c r="E18" s="24" t="n">
        <f aca="false">C18+D18</f>
        <v>5091.1905291914</v>
      </c>
      <c r="F18" s="24" t="n">
        <f aca="false">C18*12</f>
        <v>15273.5715875742</v>
      </c>
      <c r="G18" s="24" t="n">
        <f aca="false">F18*3</f>
        <v>45820.7147627226</v>
      </c>
      <c r="H18" s="24" t="n">
        <f aca="false">F18+G18</f>
        <v>61094.2863502968</v>
      </c>
      <c r="I18" s="36" t="n">
        <f aca="false">F18/$E$7</f>
        <v>0.0322607741636141</v>
      </c>
    </row>
    <row r="19" customFormat="false" ht="16.5" hidden="false" customHeight="true" outlineLevel="0" collapsed="false">
      <c r="B19" s="22" t="str">
        <f aca="false">'Base Chapecó'!B15</f>
        <v>APS PINHALZINHO</v>
      </c>
      <c r="C19" s="24" t="n">
        <f aca="false">'Base Chapecó'!AO15</f>
        <v>1245.888160453</v>
      </c>
      <c r="D19" s="24" t="n">
        <f aca="false">C19*3</f>
        <v>3737.664481359</v>
      </c>
      <c r="E19" s="24" t="n">
        <f aca="false">C19+D19</f>
        <v>4983.552641812</v>
      </c>
      <c r="F19" s="24" t="n">
        <f aca="false">C19*12</f>
        <v>14950.657925436</v>
      </c>
      <c r="G19" s="24" t="n">
        <f aca="false">F19*3</f>
        <v>44851.973776308</v>
      </c>
      <c r="H19" s="24" t="n">
        <f aca="false">F19+G19</f>
        <v>59802.6317017441</v>
      </c>
      <c r="I19" s="36" t="n">
        <f aca="false">F19/$E$7</f>
        <v>0.0315787172741135</v>
      </c>
    </row>
    <row r="20" customFormat="false" ht="16.5" hidden="false" customHeight="true" outlineLevel="0" collapsed="false">
      <c r="B20" s="22" t="str">
        <f aca="false">'Base Chapecó'!B16</f>
        <v>APS SÃO MIGUEL D OESTE</v>
      </c>
      <c r="C20" s="24" t="n">
        <f aca="false">'Base Chapecó'!AO16</f>
        <v>1939.75953929519</v>
      </c>
      <c r="D20" s="24" t="n">
        <f aca="false">C20*3</f>
        <v>5819.27861788556</v>
      </c>
      <c r="E20" s="24" t="n">
        <f aca="false">C20+D20</f>
        <v>7759.03815718074</v>
      </c>
      <c r="F20" s="24" t="n">
        <f aca="false">C20*12</f>
        <v>23277.1144715422</v>
      </c>
      <c r="G20" s="24" t="n">
        <f aca="false">F20*3</f>
        <v>69831.3434146267</v>
      </c>
      <c r="H20" s="24" t="n">
        <f aca="false">F20+G20</f>
        <v>93108.4578861689</v>
      </c>
      <c r="I20" s="36" t="n">
        <f aca="false">F20/$E$7</f>
        <v>0.0491658240406548</v>
      </c>
    </row>
    <row r="21" customFormat="false" ht="16.5" hidden="false" customHeight="true" outlineLevel="0" collapsed="false">
      <c r="B21" s="22" t="str">
        <f aca="false">'Base Chapecó'!B17</f>
        <v>APS VIDEIRA</v>
      </c>
      <c r="C21" s="24" t="n">
        <f aca="false">'Base Chapecó'!AO17</f>
        <v>2439.72192831327</v>
      </c>
      <c r="D21" s="24" t="n">
        <f aca="false">C21*3</f>
        <v>7319.16578493982</v>
      </c>
      <c r="E21" s="24" t="n">
        <f aca="false">C21+D21</f>
        <v>9758.88771325309</v>
      </c>
      <c r="F21" s="24" t="n">
        <f aca="false">C21*12</f>
        <v>29276.6631397593</v>
      </c>
      <c r="G21" s="24" t="n">
        <f aca="false">F21*3</f>
        <v>87829.9894192778</v>
      </c>
      <c r="H21" s="24" t="n">
        <f aca="false">F21+G21</f>
        <v>117106.652559037</v>
      </c>
      <c r="I21" s="36" t="n">
        <f aca="false">F21/$E$7</f>
        <v>0.0618380456987786</v>
      </c>
    </row>
    <row r="22" customFormat="false" ht="16.5" hidden="false" customHeight="true" outlineLevel="0" collapsed="false">
      <c r="B22" s="22" t="str">
        <f aca="false">'Base Chapecó'!B18</f>
        <v>APS XANXERÊ</v>
      </c>
      <c r="C22" s="24" t="n">
        <f aca="false">'Base Chapecó'!AO18</f>
        <v>1640.94434786614</v>
      </c>
      <c r="D22" s="24" t="n">
        <f aca="false">C22*3</f>
        <v>4922.83304359841</v>
      </c>
      <c r="E22" s="24" t="n">
        <f aca="false">C22+D22</f>
        <v>6563.77739146454</v>
      </c>
      <c r="F22" s="24" t="n">
        <f aca="false">C22*12</f>
        <v>19691.3321743936</v>
      </c>
      <c r="G22" s="24" t="n">
        <f aca="false">F22*3</f>
        <v>59073.9965231809</v>
      </c>
      <c r="H22" s="24" t="n">
        <f aca="false">F22+G22</f>
        <v>78765.3286975745</v>
      </c>
      <c r="I22" s="36" t="n">
        <f aca="false">F22/$E$7</f>
        <v>0.0415919496377412</v>
      </c>
    </row>
    <row r="23" customFormat="false" ht="16.5" hidden="false" customHeight="true" outlineLevel="0" collapsed="false">
      <c r="B23" s="22" t="str">
        <f aca="false">'Base Chapecó'!B19</f>
        <v>APS XAXIM</v>
      </c>
      <c r="C23" s="24" t="n">
        <f aca="false">'Base Chapecó'!AO19</f>
        <v>1015.95482789343</v>
      </c>
      <c r="D23" s="24" t="n">
        <f aca="false">C23*3</f>
        <v>3047.86448368028</v>
      </c>
      <c r="E23" s="24" t="n">
        <f aca="false">C23+D23</f>
        <v>4063.81931157371</v>
      </c>
      <c r="F23" s="24" t="n">
        <f aca="false">C23*12</f>
        <v>12191.4579347211</v>
      </c>
      <c r="G23" s="24" t="n">
        <f aca="false">F23*3</f>
        <v>36574.3738041634</v>
      </c>
      <c r="H23" s="24" t="n">
        <f aca="false">F23+G23</f>
        <v>48765.8317388845</v>
      </c>
      <c r="I23" s="36" t="n">
        <f aca="false">F23/$E$7</f>
        <v>0.0257507465691399</v>
      </c>
    </row>
    <row r="24" customFormat="false" ht="16.5" hidden="false" customHeight="true" outlineLevel="0" collapsed="false">
      <c r="B24" s="22" t="str">
        <f aca="false">'Base Chapecó'!B20</f>
        <v>GEX CHAPECÓ</v>
      </c>
      <c r="C24" s="24" t="n">
        <f aca="false">'Base Chapecó'!AO20</f>
        <v>1495.90074662052</v>
      </c>
      <c r="D24" s="24" t="n">
        <f aca="false">C24*3</f>
        <v>4487.70223986157</v>
      </c>
      <c r="E24" s="24" t="n">
        <f aca="false">C24+D24</f>
        <v>5983.6029864821</v>
      </c>
      <c r="F24" s="24" t="n">
        <f aca="false">C24*12</f>
        <v>17950.8089594463</v>
      </c>
      <c r="G24" s="24" t="n">
        <f aca="false">F24*3</f>
        <v>53852.4268783389</v>
      </c>
      <c r="H24" s="24" t="n">
        <f aca="false">F24+G24</f>
        <v>71803.2358377851</v>
      </c>
      <c r="I24" s="36" t="n">
        <f aca="false">F24/$E$7</f>
        <v>0.0379156237671357</v>
      </c>
    </row>
    <row r="25" customFormat="false" ht="22.5" hidden="false" customHeight="true" outlineLevel="0" collapsed="false">
      <c r="B25" s="37" t="str">
        <f aca="false">"Total Base "&amp;B5</f>
        <v>Total Base CHAPECÓ</v>
      </c>
      <c r="C25" s="37" t="n">
        <f aca="false">SUM(C11:C24)</f>
        <v>26514.0329231014</v>
      </c>
      <c r="D25" s="37" t="n">
        <f aca="false">SUM(D11:D24)</f>
        <v>79542.0987693042</v>
      </c>
      <c r="E25" s="37" t="n">
        <f aca="false">SUM(E11:E24)</f>
        <v>106056.131692406</v>
      </c>
      <c r="F25" s="37" t="n">
        <f aca="false">SUM(F11:F24)</f>
        <v>318168.395077217</v>
      </c>
      <c r="G25" s="37" t="n">
        <f aca="false">SUM(G11:G24)</f>
        <v>954505.185231651</v>
      </c>
      <c r="H25" s="37" t="n">
        <f aca="false">SUM(H11:H24)</f>
        <v>1272673.58030887</v>
      </c>
      <c r="I25" s="38" t="n">
        <f aca="false">SUM(I11:I24)</f>
        <v>0.67203395621861</v>
      </c>
    </row>
    <row r="26" customFormat="false" ht="22.5" hidden="false" customHeight="true" outlineLevel="0" collapsed="false">
      <c r="B26" s="39"/>
      <c r="C26" s="39"/>
      <c r="D26" s="39"/>
      <c r="E26" s="39"/>
      <c r="F26" s="39"/>
      <c r="G26" s="39"/>
      <c r="H26" s="39"/>
      <c r="I26" s="40"/>
    </row>
    <row r="27" s="29" customFormat="true" ht="27.75" hidden="false" customHeight="true" outlineLevel="0" collapsed="false">
      <c r="B27" s="30" t="str">
        <f aca="false">"BASE "&amp;B6</f>
        <v>BASE PATO BRANCO</v>
      </c>
      <c r="C27" s="31" t="s">
        <v>23</v>
      </c>
      <c r="D27" s="31"/>
      <c r="E27" s="31"/>
      <c r="F27" s="31" t="s">
        <v>24</v>
      </c>
      <c r="G27" s="31"/>
      <c r="H27" s="31"/>
      <c r="I27" s="32" t="s">
        <v>25</v>
      </c>
      <c r="IP27" s="33"/>
    </row>
    <row r="28" s="29" customFormat="true" ht="22.5" hidden="false" customHeight="true" outlineLevel="0" collapsed="false">
      <c r="B28" s="30"/>
      <c r="C28" s="34" t="s">
        <v>26</v>
      </c>
      <c r="D28" s="34" t="s">
        <v>27</v>
      </c>
      <c r="E28" s="34" t="s">
        <v>28</v>
      </c>
      <c r="F28" s="35" t="s">
        <v>26</v>
      </c>
      <c r="G28" s="35" t="s">
        <v>27</v>
      </c>
      <c r="H28" s="35" t="s">
        <v>28</v>
      </c>
      <c r="I28" s="35" t="s">
        <v>29</v>
      </c>
      <c r="IP28" s="33"/>
    </row>
    <row r="29" customFormat="false" ht="16.5" hidden="false" customHeight="true" outlineLevel="0" collapsed="false">
      <c r="B29" s="22" t="str">
        <f aca="false">'Base Pato Branco'!B7</f>
        <v>APS CORONEL VIVIDA</v>
      </c>
      <c r="C29" s="24" t="n">
        <f aca="false">'Base Pato Branco'!AO7</f>
        <v>1093.98236042453</v>
      </c>
      <c r="D29" s="24" t="n">
        <f aca="false">C29*3</f>
        <v>3281.94708127358</v>
      </c>
      <c r="E29" s="24" t="n">
        <f aca="false">C29+D29</f>
        <v>4375.92944169811</v>
      </c>
      <c r="F29" s="24" t="n">
        <f aca="false">C29*12</f>
        <v>13127.7883250943</v>
      </c>
      <c r="G29" s="24" t="n">
        <f aca="false">F29*3</f>
        <v>39383.364975283</v>
      </c>
      <c r="H29" s="24" t="n">
        <f aca="false">F29+G29</f>
        <v>52511.1533003773</v>
      </c>
      <c r="I29" s="36" t="n">
        <f aca="false">F29/$E$7</f>
        <v>0.0277284597119475</v>
      </c>
    </row>
    <row r="30" customFormat="false" ht="16.5" hidden="false" customHeight="true" outlineLevel="0" collapsed="false">
      <c r="B30" s="22" t="str">
        <f aca="false">'Base Pato Branco'!B8</f>
        <v>APS DOIS VIZINHOS</v>
      </c>
      <c r="C30" s="24" t="n">
        <f aca="false">'Base Pato Branco'!AO8</f>
        <v>1199.21030715356</v>
      </c>
      <c r="D30" s="24" t="n">
        <f aca="false">C30*3</f>
        <v>3597.63092146067</v>
      </c>
      <c r="E30" s="24" t="n">
        <f aca="false">C30+D30</f>
        <v>4796.84122861423</v>
      </c>
      <c r="F30" s="24" t="n">
        <f aca="false">C30*12</f>
        <v>14390.5236858427</v>
      </c>
      <c r="G30" s="24" t="n">
        <f aca="false">F30*3</f>
        <v>43171.5710575281</v>
      </c>
      <c r="H30" s="24" t="n">
        <f aca="false">F30+G30</f>
        <v>57562.0947433707</v>
      </c>
      <c r="I30" s="36" t="n">
        <f aca="false">F30/$E$7</f>
        <v>0.0303956040709431</v>
      </c>
    </row>
    <row r="31" customFormat="false" ht="16.5" hidden="false" customHeight="true" outlineLevel="0" collapsed="false">
      <c r="B31" s="22" t="str">
        <f aca="false">'Base Pato Branco'!B9</f>
        <v>APS FRANCISCO BELTRÃO</v>
      </c>
      <c r="C31" s="24" t="n">
        <f aca="false">'Base Pato Branco'!AO9</f>
        <v>1865.84515359162</v>
      </c>
      <c r="D31" s="24" t="n">
        <f aca="false">C31*3</f>
        <v>5597.53546077485</v>
      </c>
      <c r="E31" s="24" t="n">
        <f aca="false">C31+D31</f>
        <v>7463.38061436647</v>
      </c>
      <c r="F31" s="24" t="n">
        <f aca="false">C31*12</f>
        <v>22390.1418430994</v>
      </c>
      <c r="G31" s="24" t="n">
        <f aca="false">F31*3</f>
        <v>67170.4255292982</v>
      </c>
      <c r="H31" s="24" t="n">
        <f aca="false">F31+G31</f>
        <v>89560.5673723976</v>
      </c>
      <c r="I31" s="36" t="n">
        <f aca="false">F31/$E$7</f>
        <v>0.0472923641566038</v>
      </c>
    </row>
    <row r="32" customFormat="false" ht="16.5" hidden="false" customHeight="true" outlineLevel="0" collapsed="false">
      <c r="B32" s="22" t="str">
        <f aca="false">'Base Pato Branco'!B10</f>
        <v>APS MANGUEIRINHA</v>
      </c>
      <c r="C32" s="24" t="n">
        <f aca="false">'Base Pato Branco'!AO10</f>
        <v>1070.58444872343</v>
      </c>
      <c r="D32" s="24" t="n">
        <f aca="false">C32*3</f>
        <v>3211.7533461703</v>
      </c>
      <c r="E32" s="24" t="n">
        <f aca="false">C32+D32</f>
        <v>4282.33779489373</v>
      </c>
      <c r="F32" s="24" t="n">
        <f aca="false">C32*12</f>
        <v>12847.0133846812</v>
      </c>
      <c r="G32" s="24" t="n">
        <f aca="false">F32*3</f>
        <v>38541.0401540436</v>
      </c>
      <c r="H32" s="24" t="n">
        <f aca="false">F32+G32</f>
        <v>51388.0535387247</v>
      </c>
      <c r="I32" s="36" t="n">
        <f aca="false">F32/$E$7</f>
        <v>0.0271354080546103</v>
      </c>
    </row>
    <row r="33" customFormat="false" ht="16.5" hidden="false" customHeight="true" outlineLevel="0" collapsed="false">
      <c r="B33" s="22" t="str">
        <f aca="false">'Base Pato Branco'!B11</f>
        <v>APS PALMAS</v>
      </c>
      <c r="C33" s="24" t="n">
        <f aca="false">'Base Pato Branco'!AO11</f>
        <v>1300.88598572213</v>
      </c>
      <c r="D33" s="24" t="n">
        <f aca="false">C33*3</f>
        <v>3902.6579571664</v>
      </c>
      <c r="E33" s="24" t="n">
        <f aca="false">C33+D33</f>
        <v>5203.54394288853</v>
      </c>
      <c r="F33" s="24" t="n">
        <f aca="false">C33*12</f>
        <v>15610.6318286656</v>
      </c>
      <c r="G33" s="24" t="n">
        <f aca="false">F33*3</f>
        <v>46831.8954859968</v>
      </c>
      <c r="H33" s="24" t="n">
        <f aca="false">F33+G33</f>
        <v>62442.5273146623</v>
      </c>
      <c r="I33" s="36" t="n">
        <f aca="false">F33/$E$7</f>
        <v>0.0329727113981395</v>
      </c>
    </row>
    <row r="34" customFormat="false" ht="16.5" hidden="false" customHeight="true" outlineLevel="0" collapsed="false">
      <c r="B34" s="22" t="str">
        <f aca="false">'Base Pato Branco'!B12</f>
        <v>APS PATO BRANCO</v>
      </c>
      <c r="C34" s="24" t="n">
        <f aca="false">'Base Pato Branco'!AO12</f>
        <v>1439.35705673835</v>
      </c>
      <c r="D34" s="24" t="n">
        <f aca="false">C34*3</f>
        <v>4318.07117021505</v>
      </c>
      <c r="E34" s="24" t="n">
        <f aca="false">C34+D34</f>
        <v>5757.4282269534</v>
      </c>
      <c r="F34" s="24" t="n">
        <f aca="false">C34*12</f>
        <v>17272.2846808602</v>
      </c>
      <c r="G34" s="24" t="n">
        <f aca="false">F34*3</f>
        <v>51816.8540425806</v>
      </c>
      <c r="H34" s="24" t="n">
        <f aca="false">F34+G34</f>
        <v>69089.1387234408</v>
      </c>
      <c r="I34" s="36" t="n">
        <f aca="false">F34/$E$7</f>
        <v>0.036482447617701</v>
      </c>
    </row>
    <row r="35" customFormat="false" ht="16.5" hidden="false" customHeight="true" outlineLevel="0" collapsed="false">
      <c r="B35" s="22" t="str">
        <f aca="false">'Base Pato Branco'!B13</f>
        <v>APS REALEZA</v>
      </c>
      <c r="C35" s="24" t="n">
        <f aca="false">'Base Pato Branco'!AO13</f>
        <v>1199.21030715356</v>
      </c>
      <c r="D35" s="24" t="n">
        <f aca="false">C35*3</f>
        <v>3597.63092146067</v>
      </c>
      <c r="E35" s="24" t="n">
        <f aca="false">C35+D35</f>
        <v>4796.84122861423</v>
      </c>
      <c r="F35" s="24" t="n">
        <f aca="false">C35*12</f>
        <v>14390.5236858427</v>
      </c>
      <c r="G35" s="24" t="n">
        <f aca="false">F35*3</f>
        <v>43171.5710575281</v>
      </c>
      <c r="H35" s="24" t="n">
        <f aca="false">F35+G35</f>
        <v>57562.0947433707</v>
      </c>
      <c r="I35" s="36" t="n">
        <f aca="false">F35/$E$7</f>
        <v>0.0303956040709431</v>
      </c>
    </row>
    <row r="36" customFormat="false" ht="16.5" hidden="false" customHeight="true" outlineLevel="0" collapsed="false">
      <c r="B36" s="22" t="str">
        <f aca="false">'Base Pato Branco'!B14</f>
        <v>APS STO. ANTÔNIO DO SUDOESTE</v>
      </c>
      <c r="C36" s="24" t="n">
        <f aca="false">'Base Pato Branco'!AO14</f>
        <v>1237.18556059483</v>
      </c>
      <c r="D36" s="24" t="n">
        <f aca="false">C36*3</f>
        <v>3711.5566817845</v>
      </c>
      <c r="E36" s="24" t="n">
        <f aca="false">C36+D36</f>
        <v>4948.74224237933</v>
      </c>
      <c r="F36" s="24" t="n">
        <f aca="false">C36*12</f>
        <v>14846.226727138</v>
      </c>
      <c r="G36" s="24" t="n">
        <f aca="false">F36*3</f>
        <v>44538.680181414</v>
      </c>
      <c r="H36" s="24" t="n">
        <f aca="false">F36+G36</f>
        <v>59384.9069085519</v>
      </c>
      <c r="I36" s="36" t="n">
        <f aca="false">F36/$E$7</f>
        <v>0.031358138132908</v>
      </c>
    </row>
    <row r="37" customFormat="false" ht="16.5" hidden="false" customHeight="true" outlineLevel="0" collapsed="false">
      <c r="B37" s="22" t="str">
        <f aca="false">'Base Pato Branco'!B15</f>
        <v>APS DIONÍSIO CERQUEIRA</v>
      </c>
      <c r="C37" s="24" t="n">
        <f aca="false">'Base Pato Branco'!AO15</f>
        <v>1237.18556059483</v>
      </c>
      <c r="D37" s="24" t="n">
        <f aca="false">C37*3</f>
        <v>3711.5566817845</v>
      </c>
      <c r="E37" s="24" t="n">
        <f aca="false">C37+D37</f>
        <v>4948.74224237933</v>
      </c>
      <c r="F37" s="24" t="n">
        <f aca="false">C37*12</f>
        <v>14846.226727138</v>
      </c>
      <c r="G37" s="24" t="n">
        <f aca="false">F37*3</f>
        <v>44538.680181414</v>
      </c>
      <c r="H37" s="24" t="n">
        <f aca="false">F37+G37</f>
        <v>59384.9069085519</v>
      </c>
      <c r="I37" s="36" t="n">
        <f aca="false">F37/$E$7</f>
        <v>0.031358138132908</v>
      </c>
    </row>
    <row r="38" customFormat="false" ht="16.5" hidden="false" customHeight="true" outlineLevel="0" collapsed="false">
      <c r="B38" s="22" t="str">
        <f aca="false">'Base Pato Branco'!B16</f>
        <v>APS SÃO L. DO OESTE</v>
      </c>
      <c r="C38" s="24" t="n">
        <f aca="false">'Base Pato Branco'!AO16</f>
        <v>1295.93288739209</v>
      </c>
      <c r="D38" s="24" t="n">
        <f aca="false">C38*3</f>
        <v>3887.79866217628</v>
      </c>
      <c r="E38" s="24" t="n">
        <f aca="false">C38+D38</f>
        <v>5183.73154956838</v>
      </c>
      <c r="F38" s="24" t="n">
        <f aca="false">C38*12</f>
        <v>15551.1946487051</v>
      </c>
      <c r="G38" s="24" t="n">
        <f aca="false">F38*3</f>
        <v>46653.5839461154</v>
      </c>
      <c r="H38" s="24" t="n">
        <f aca="false">F38+G38</f>
        <v>62204.7785948205</v>
      </c>
      <c r="I38" s="36" t="n">
        <f aca="false">F38/$E$7</f>
        <v>0.0328471684346857</v>
      </c>
    </row>
    <row r="39" customFormat="false" ht="22.5" hidden="false" customHeight="true" outlineLevel="0" collapsed="false">
      <c r="B39" s="41" t="str">
        <f aca="false">"Total Base "&amp;B6</f>
        <v>Total Base PATO BRANCO</v>
      </c>
      <c r="C39" s="41" t="n">
        <f aca="false">SUM(C29:C38)</f>
        <v>12939.3796280889</v>
      </c>
      <c r="D39" s="41" t="n">
        <f aca="false">SUM(D29:D38)</f>
        <v>38818.1388842668</v>
      </c>
      <c r="E39" s="41" t="n">
        <f aca="false">SUM(E29:E38)</f>
        <v>51757.5185123557</v>
      </c>
      <c r="F39" s="41" t="n">
        <f aca="false">SUM(F29:F38)</f>
        <v>155272.555537067</v>
      </c>
      <c r="G39" s="41" t="n">
        <f aca="false">SUM(G29:G38)</f>
        <v>465817.666611201</v>
      </c>
      <c r="H39" s="41" t="n">
        <f aca="false">SUM(H29:H38)</f>
        <v>621090.222148269</v>
      </c>
      <c r="I39" s="42" t="n">
        <f aca="false">SUM(I29:I38)</f>
        <v>0.32796604378139</v>
      </c>
    </row>
    <row r="40" customFormat="false" ht="22.5" hidden="false" customHeight="true" outlineLevel="0" collapsed="false">
      <c r="B40" s="43"/>
      <c r="C40" s="39"/>
      <c r="D40" s="39"/>
      <c r="E40" s="39"/>
      <c r="F40" s="39"/>
      <c r="G40" s="39"/>
      <c r="H40" s="39"/>
      <c r="I40" s="40"/>
    </row>
  </sheetData>
  <mergeCells count="7">
    <mergeCell ref="B2:I2"/>
    <mergeCell ref="B9:B10"/>
    <mergeCell ref="C9:E9"/>
    <mergeCell ref="F9:H9"/>
    <mergeCell ref="B27:B28"/>
    <mergeCell ref="C27:E27"/>
    <mergeCell ref="F27:H27"/>
  </mergeCells>
  <printOptions headings="false" gridLines="false" gridLinesSet="true" horizontalCentered="true" verticalCentered="false"/>
  <pageMargins left="0.150694444444444" right="0.0729166666666667" top="0.1375" bottom="0.0826388888888889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E6552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5" activeCellId="0" sqref="C5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21.62"/>
    <col collapsed="false" customWidth="true" hidden="false" outlineLevel="0" max="5" min="3" style="2" width="14.62"/>
    <col collapsed="false" customWidth="true" hidden="false" outlineLevel="0" max="6" min="6" style="2" width="13.5"/>
    <col collapsed="false" customWidth="true" hidden="false" outlineLevel="0" max="7" min="7" style="2" width="12.5"/>
    <col collapsed="false" customWidth="true" hidden="false" outlineLevel="0" max="257" min="8" style="2" width="10.62"/>
    <col collapsed="false" customWidth="true" hidden="false" outlineLevel="0" max="1025" min="258" style="1" width="10.5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44" t="str">
        <f aca="false">"CÁLCULO DO CUSTO DA EQUIPE TÉCNICA PARA O "&amp;'Valor da Contratação'!B7&amp;""</f>
        <v>CÁLCULO DO CUSTO DA EQUIPE TÉCNICA PARA O POLO VI</v>
      </c>
      <c r="C2" s="44"/>
      <c r="D2" s="44"/>
      <c r="E2" s="44"/>
    </row>
    <row r="3" customFormat="false" ht="15" hidden="false" customHeight="true" outlineLevel="0" collapsed="false">
      <c r="B3" s="45"/>
      <c r="C3" s="45"/>
      <c r="D3" s="45"/>
      <c r="E3" s="45"/>
    </row>
    <row r="4" customFormat="false" ht="45.75" hidden="false" customHeight="true" outlineLevel="0" collapsed="false">
      <c r="B4" s="46" t="s">
        <v>30</v>
      </c>
      <c r="C4" s="47" t="s">
        <v>31</v>
      </c>
      <c r="D4" s="47" t="s">
        <v>32</v>
      </c>
      <c r="E4" s="47" t="s">
        <v>33</v>
      </c>
    </row>
    <row r="5" customFormat="false" ht="19.5" hidden="false" customHeight="true" outlineLevel="0" collapsed="false">
      <c r="B5" s="46"/>
      <c r="C5" s="48" t="n">
        <v>147.07</v>
      </c>
      <c r="D5" s="48" t="n">
        <f aca="false">'Comp. Eng. Eletricista'!D11</f>
        <v>173.91288</v>
      </c>
      <c r="E5" s="48" t="n">
        <v>35.8</v>
      </c>
    </row>
    <row r="6" customFormat="false" ht="19.5" hidden="false" customHeight="true" outlineLevel="0" collapsed="false">
      <c r="B6" s="49" t="s">
        <v>34</v>
      </c>
      <c r="C6" s="50" t="n">
        <v>80</v>
      </c>
      <c r="D6" s="50" t="n">
        <v>16</v>
      </c>
      <c r="E6" s="50" t="n">
        <v>80</v>
      </c>
    </row>
    <row r="7" customFormat="false" ht="19.5" hidden="false" customHeight="true" outlineLevel="0" collapsed="false">
      <c r="B7" s="49" t="s">
        <v>35</v>
      </c>
      <c r="C7" s="48" t="n">
        <f aca="false">C5*C6</f>
        <v>11765.6</v>
      </c>
      <c r="D7" s="48" t="n">
        <f aca="false">D5*D6</f>
        <v>2782.60608</v>
      </c>
      <c r="E7" s="48" t="n">
        <f aca="false">E5*E6</f>
        <v>2864</v>
      </c>
    </row>
    <row r="8" customFormat="false" ht="19.5" hidden="false" customHeight="true" outlineLevel="0" collapsed="false">
      <c r="B8" s="49" t="s">
        <v>36</v>
      </c>
      <c r="C8" s="48" t="n">
        <f aca="false">C5*C6*12</f>
        <v>141187.2</v>
      </c>
      <c r="D8" s="48" t="n">
        <f aca="false">D5*D6*12</f>
        <v>33391.27296</v>
      </c>
      <c r="E8" s="48" t="n">
        <f aca="false">E5*E6*12</f>
        <v>34368</v>
      </c>
    </row>
    <row r="9" customFormat="false" ht="19.5" hidden="false" customHeight="true" outlineLevel="0" collapsed="false">
      <c r="B9" s="51" t="s">
        <v>37</v>
      </c>
      <c r="C9" s="52"/>
      <c r="D9" s="52"/>
      <c r="E9" s="52"/>
    </row>
    <row r="10" customFormat="false" ht="19.5" hidden="false" customHeight="true" outlineLevel="0" collapsed="false">
      <c r="C10" s="52"/>
      <c r="D10" s="52"/>
      <c r="E10" s="52"/>
    </row>
    <row r="11" customFormat="false" ht="19.5" hidden="false" customHeight="true" outlineLevel="0" collapsed="false">
      <c r="B11" s="46" t="s">
        <v>38</v>
      </c>
      <c r="C11" s="46"/>
      <c r="E11" s="52"/>
    </row>
    <row r="12" customFormat="false" ht="19.5" hidden="false" customHeight="true" outlineLevel="0" collapsed="false">
      <c r="B12" s="49" t="s">
        <v>39</v>
      </c>
      <c r="C12" s="48" t="n">
        <f aca="false">SUM(C7:E7)</f>
        <v>17412.20608</v>
      </c>
      <c r="E12" s="52"/>
    </row>
    <row r="13" customFormat="false" ht="19.5" hidden="false" customHeight="true" outlineLevel="0" collapsed="false">
      <c r="B13" s="49" t="s">
        <v>40</v>
      </c>
      <c r="C13" s="48" t="n">
        <f aca="false">SUM(C8:E8)</f>
        <v>208946.47296</v>
      </c>
    </row>
    <row r="65527" customFormat="false" ht="12.75" hidden="false" customHeight="true" outlineLevel="0" collapsed="false"/>
  </sheetData>
  <mergeCells count="3">
    <mergeCell ref="B2:E2"/>
    <mergeCell ref="B4:B5"/>
    <mergeCell ref="B11:C11"/>
  </mergeCells>
  <printOptions headings="false" gridLines="false" gridLinesSet="true" horizontalCentered="true" verticalCentered="false"/>
  <pageMargins left="0.7875" right="0.7875" top="0.47777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AW26"/>
  <sheetViews>
    <sheetView showFormulas="false" showGridLines="false" showRowColHeaders="true" showZeros="true" rightToLeft="false" tabSelected="false" showOutlineSymbols="true" defaultGridColor="true" view="normal" topLeftCell="AI1" colorId="64" zoomScale="100" zoomScaleNormal="100" zoomScalePageLayoutView="100" workbookViewId="0">
      <selection pane="topLeft" activeCell="AP6" activeCellId="0" sqref="AP6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62"/>
    <col collapsed="false" customWidth="true" hidden="false" outlineLevel="0" max="15" min="3" style="16" width="12.62"/>
    <col collapsed="false" customWidth="false" hidden="false" outlineLevel="0" max="16" min="16" style="16" width="8.38"/>
    <col collapsed="false" customWidth="true" hidden="false" outlineLevel="0" max="17" min="17" style="16" width="33"/>
    <col collapsed="false" customWidth="true" hidden="false" outlineLevel="0" max="33" min="18" style="16" width="11.5"/>
    <col collapsed="false" customWidth="true" hidden="false" outlineLevel="0" max="34" min="34" style="16" width="11"/>
    <col collapsed="false" customWidth="true" hidden="false" outlineLevel="0" max="35" min="35" style="16" width="33"/>
    <col collapsed="false" customWidth="true" hidden="false" outlineLevel="0" max="36" min="36" style="16" width="10.62"/>
    <col collapsed="false" customWidth="true" hidden="false" outlineLevel="0" max="40" min="37" style="16" width="11.75"/>
    <col collapsed="false" customWidth="true" hidden="false" outlineLevel="0" max="42" min="41" style="16" width="11.38"/>
    <col collapsed="false" customWidth="true" hidden="false" outlineLevel="0" max="43" min="43" style="16" width="12.88"/>
    <col collapsed="false" customWidth="true" hidden="false" outlineLevel="0" max="44" min="44" style="16" width="3.38"/>
    <col collapsed="false" customWidth="true" hidden="false" outlineLevel="0" max="45" min="45" style="16" width="28.12"/>
    <col collapsed="false" customWidth="true" hidden="false" outlineLevel="0" max="46" min="46" style="16" width="12.76"/>
    <col collapsed="false" customWidth="true" hidden="false" outlineLevel="0" max="49" min="47" style="16" width="11.75"/>
    <col collapsed="false" customWidth="true" hidden="false" outlineLevel="0" max="256" min="50" style="16" width="10.62"/>
    <col collapsed="false" customWidth="true" hidden="false" outlineLevel="0" max="1012" min="257" style="1" width="10.5"/>
  </cols>
  <sheetData>
    <row r="1" customFormat="false" ht="15" hidden="false" customHeight="true" outlineLevel="0" collapsed="false"/>
    <row r="2" s="53" customFormat="true" ht="24.75" hidden="false" customHeight="true" outlineLevel="0" collapsed="false">
      <c r="B2" s="54" t="str">
        <f aca="false">"BASE "&amp;Resumo!B5&amp;" - PLANILHA DE FORMAÇÃO DE PREÇOS"</f>
        <v>BASE CHAPECÓ - PLANILHA DE FORMAÇÃO DE PREÇOS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5"/>
      <c r="Q2" s="44" t="str">
        <f aca="false">"BASE "&amp;Resumo!B5&amp;" – PLANILHA DE DISTRIBUIÇÃO DE CUSTOS POR UNIDADE"</f>
        <v>BASE CHAPECÓ – PLANILHA DE DISTRIBUIÇÃO DE CUSTOS POR UNIDADE</v>
      </c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56"/>
      <c r="AI2" s="57" t="str">
        <f aca="false">"BASE "&amp;Resumo!B5&amp;" – PLANILHA RESUMO DE CUSTOS DA BASE"</f>
        <v>BASE CHAPECÓ – PLANILHA RESUMO DE CUSTOS DA BASE</v>
      </c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</row>
    <row r="3" customFormat="false" ht="15" hidden="false" customHeight="true" outlineLevel="0" collapsed="false">
      <c r="B3" s="53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</row>
    <row r="4" s="33" customFormat="true" ht="19.5" hidden="false" customHeight="true" outlineLevel="0" collapsed="false">
      <c r="B4" s="47" t="s">
        <v>41</v>
      </c>
      <c r="C4" s="47" t="s">
        <v>42</v>
      </c>
      <c r="D4" s="47"/>
      <c r="E4" s="47"/>
      <c r="F4" s="47"/>
      <c r="G4" s="47"/>
      <c r="H4" s="47" t="s">
        <v>43</v>
      </c>
      <c r="I4" s="47"/>
      <c r="J4" s="47"/>
      <c r="K4" s="47"/>
      <c r="L4" s="47"/>
      <c r="M4" s="47"/>
      <c r="N4" s="47"/>
      <c r="O4" s="47" t="s">
        <v>28</v>
      </c>
      <c r="P4" s="55"/>
      <c r="Q4" s="47" t="s">
        <v>44</v>
      </c>
      <c r="R4" s="58" t="s">
        <v>45</v>
      </c>
      <c r="S4" s="58"/>
      <c r="T4" s="58"/>
      <c r="U4" s="58"/>
      <c r="V4" s="58" t="s">
        <v>46</v>
      </c>
      <c r="W4" s="58"/>
      <c r="X4" s="58"/>
      <c r="Y4" s="58"/>
      <c r="Z4" s="58" t="s">
        <v>47</v>
      </c>
      <c r="AA4" s="58"/>
      <c r="AB4" s="58"/>
      <c r="AC4" s="58"/>
      <c r="AD4" s="58" t="s">
        <v>48</v>
      </c>
      <c r="AE4" s="58"/>
      <c r="AF4" s="58"/>
      <c r="AG4" s="58"/>
      <c r="AI4" s="47" t="s">
        <v>44</v>
      </c>
      <c r="AJ4" s="59" t="s">
        <v>49</v>
      </c>
      <c r="AK4" s="59"/>
      <c r="AL4" s="59"/>
      <c r="AM4" s="59"/>
      <c r="AN4" s="59"/>
      <c r="AO4" s="59" t="s">
        <v>50</v>
      </c>
      <c r="AP4" s="59"/>
      <c r="AQ4" s="59"/>
      <c r="AR4" s="60"/>
      <c r="AS4" s="59" t="str">
        <f aca="false">"Resumo de Custos da Base "&amp;Resumo!B5</f>
        <v>Resumo de Custos da Base CHAPECÓ</v>
      </c>
      <c r="AT4" s="59"/>
      <c r="AU4" s="59"/>
      <c r="AV4" s="59"/>
      <c r="AW4" s="59"/>
    </row>
    <row r="5" customFormat="false" ht="39.75" hidden="false" customHeight="true" outlineLevel="0" collapsed="false">
      <c r="B5" s="47"/>
      <c r="C5" s="47" t="s">
        <v>28</v>
      </c>
      <c r="D5" s="47" t="s">
        <v>51</v>
      </c>
      <c r="E5" s="47" t="s">
        <v>52</v>
      </c>
      <c r="F5" s="47" t="s">
        <v>53</v>
      </c>
      <c r="G5" s="47" t="s">
        <v>54</v>
      </c>
      <c r="H5" s="47" t="s">
        <v>55</v>
      </c>
      <c r="I5" s="47" t="s">
        <v>56</v>
      </c>
      <c r="J5" s="47" t="s">
        <v>57</v>
      </c>
      <c r="K5" s="47" t="s">
        <v>58</v>
      </c>
      <c r="L5" s="47" t="s">
        <v>59</v>
      </c>
      <c r="M5" s="47" t="s">
        <v>60</v>
      </c>
      <c r="N5" s="47" t="s">
        <v>61</v>
      </c>
      <c r="O5" s="47"/>
      <c r="P5" s="55"/>
      <c r="Q5" s="47"/>
      <c r="R5" s="47" t="s">
        <v>62</v>
      </c>
      <c r="S5" s="47" t="s">
        <v>63</v>
      </c>
      <c r="T5" s="47" t="s">
        <v>64</v>
      </c>
      <c r="U5" s="47" t="s">
        <v>65</v>
      </c>
      <c r="V5" s="47" t="s">
        <v>66</v>
      </c>
      <c r="W5" s="47" t="s">
        <v>67</v>
      </c>
      <c r="X5" s="47" t="s">
        <v>68</v>
      </c>
      <c r="Y5" s="47" t="s">
        <v>69</v>
      </c>
      <c r="Z5" s="47" t="s">
        <v>70</v>
      </c>
      <c r="AA5" s="47"/>
      <c r="AB5" s="47"/>
      <c r="AC5" s="47" t="n">
        <f aca="false">N21+'Base Pato Branco'!N17</f>
        <v>960.15</v>
      </c>
      <c r="AD5" s="58" t="s">
        <v>62</v>
      </c>
      <c r="AE5" s="58" t="s">
        <v>63</v>
      </c>
      <c r="AF5" s="58" t="s">
        <v>64</v>
      </c>
      <c r="AG5" s="58" t="s">
        <v>65</v>
      </c>
      <c r="AI5" s="47"/>
      <c r="AJ5" s="58" t="s">
        <v>71</v>
      </c>
      <c r="AK5" s="58" t="s">
        <v>62</v>
      </c>
      <c r="AL5" s="58" t="s">
        <v>63</v>
      </c>
      <c r="AM5" s="58" t="s">
        <v>64</v>
      </c>
      <c r="AN5" s="58" t="s">
        <v>65</v>
      </c>
      <c r="AO5" s="58" t="s">
        <v>72</v>
      </c>
      <c r="AP5" s="58" t="s">
        <v>73</v>
      </c>
      <c r="AQ5" s="58" t="s">
        <v>74</v>
      </c>
      <c r="AR5" s="56"/>
      <c r="AS5" s="58" t="s">
        <v>75</v>
      </c>
      <c r="AT5" s="58" t="s">
        <v>62</v>
      </c>
      <c r="AU5" s="58" t="s">
        <v>63</v>
      </c>
      <c r="AV5" s="58" t="s">
        <v>64</v>
      </c>
      <c r="AW5" s="58" t="s">
        <v>65</v>
      </c>
    </row>
    <row r="6" customFormat="false" ht="19.5" hidden="false" customHeight="true" outlineLevel="0" collapsed="false">
      <c r="B6" s="47"/>
      <c r="C6" s="61" t="s">
        <v>76</v>
      </c>
      <c r="D6" s="61" t="n">
        <v>1</v>
      </c>
      <c r="E6" s="61" t="n">
        <v>0.35</v>
      </c>
      <c r="F6" s="61" t="n">
        <v>0.1</v>
      </c>
      <c r="G6" s="47"/>
      <c r="H6" s="61" t="n">
        <v>1</v>
      </c>
      <c r="I6" s="61" t="n">
        <v>1.2</v>
      </c>
      <c r="J6" s="61" t="n">
        <v>2</v>
      </c>
      <c r="K6" s="61" t="n">
        <v>4</v>
      </c>
      <c r="L6" s="61" t="n">
        <v>1.1</v>
      </c>
      <c r="M6" s="61" t="n">
        <v>1.1</v>
      </c>
      <c r="N6" s="47"/>
      <c r="O6" s="47"/>
      <c r="P6" s="62"/>
      <c r="Q6" s="47"/>
      <c r="R6" s="61" t="s">
        <v>77</v>
      </c>
      <c r="S6" s="61" t="s">
        <v>78</v>
      </c>
      <c r="T6" s="61" t="s">
        <v>79</v>
      </c>
      <c r="U6" s="61" t="s">
        <v>80</v>
      </c>
      <c r="V6" s="47"/>
      <c r="W6" s="47"/>
      <c r="X6" s="47"/>
      <c r="Y6" s="47"/>
      <c r="Z6" s="35" t="s">
        <v>62</v>
      </c>
      <c r="AA6" s="35" t="s">
        <v>63</v>
      </c>
      <c r="AB6" s="35" t="s">
        <v>64</v>
      </c>
      <c r="AC6" s="35" t="s">
        <v>65</v>
      </c>
      <c r="AD6" s="58"/>
      <c r="AE6" s="58"/>
      <c r="AF6" s="58"/>
      <c r="AG6" s="58"/>
      <c r="AI6" s="47"/>
      <c r="AJ6" s="58"/>
      <c r="AK6" s="58"/>
      <c r="AL6" s="58"/>
      <c r="AM6" s="58"/>
      <c r="AN6" s="58"/>
      <c r="AO6" s="58"/>
      <c r="AP6" s="58" t="n">
        <f aca="false">72.5/27.5</f>
        <v>2.63636363636364</v>
      </c>
      <c r="AQ6" s="58"/>
      <c r="AR6" s="63"/>
      <c r="AS6" s="58"/>
      <c r="AT6" s="35" t="s">
        <v>77</v>
      </c>
      <c r="AU6" s="35" t="s">
        <v>78</v>
      </c>
      <c r="AV6" s="35" t="s">
        <v>79</v>
      </c>
      <c r="AW6" s="35" t="s">
        <v>80</v>
      </c>
    </row>
    <row r="7" s="2" customFormat="true" ht="15" hidden="false" customHeight="true" outlineLevel="0" collapsed="false">
      <c r="B7" s="22" t="s">
        <v>81</v>
      </c>
      <c r="C7" s="64" t="n">
        <f aca="false">VLOOKUP($B7,Unidades!$D$5:$N$28,6,FALSE())</f>
        <v>1776</v>
      </c>
      <c r="D7" s="64" t="n">
        <f aca="false">VLOOKUP($B7,Unidades!$D$5:$N$28,7,FALSE())</f>
        <v>657</v>
      </c>
      <c r="E7" s="64" t="n">
        <f aca="false">VLOOKUP($B7,Unidades!$D$5:$N$28,8,FALSE())</f>
        <v>577</v>
      </c>
      <c r="F7" s="64" t="n">
        <f aca="false">VLOOKUP($B7,Unidades!$D$5:$N$28,9,FALSE())</f>
        <v>542</v>
      </c>
      <c r="G7" s="64" t="n">
        <f aca="false">D7+E7*$E$6+F7*$F$6</f>
        <v>913.15</v>
      </c>
      <c r="H7" s="65" t="n">
        <f aca="false">IF(G7&lt;750,1.5,IF(G7&lt;2000,2,IF(G7&lt;4000,3,12)))</f>
        <v>2</v>
      </c>
      <c r="I7" s="65" t="n">
        <f aca="false">$I$6*H7</f>
        <v>2.4</v>
      </c>
      <c r="J7" s="65" t="str">
        <f aca="false">VLOOKUP($B7,Unidades!$D$5:$N$28,10,FALSE())</f>
        <v>NÃO</v>
      </c>
      <c r="K7" s="65" t="str">
        <f aca="false">VLOOKUP($B7,Unidades!$D$5:$N$28,11,FALSE())</f>
        <v>SIM</v>
      </c>
      <c r="L7" s="65" t="n">
        <f aca="false">$L$6*H7+(IF(J7="SIM",$J$6,0))</f>
        <v>2.2</v>
      </c>
      <c r="M7" s="65" t="n">
        <f aca="false">$M$6*H7+(IF(J7="SIM",$J$6,0))+(IF(K7="SIM",$K$6,0))</f>
        <v>6.2</v>
      </c>
      <c r="N7" s="65" t="n">
        <f aca="false">H7*12+I7*4+L7*2+M7</f>
        <v>44.2</v>
      </c>
      <c r="O7" s="66" t="n">
        <f aca="false">IF(K7="não", N7*(C$24+D$24),N7*(C$24+D$24)+(M7*+E$24))</f>
        <v>2934.05568</v>
      </c>
      <c r="P7" s="67"/>
      <c r="Q7" s="22" t="str">
        <f aca="false">B7</f>
        <v>APS CAÇADOR</v>
      </c>
      <c r="R7" s="24" t="n">
        <f aca="false">H7*($C$24+$D$24)</f>
        <v>120.0008</v>
      </c>
      <c r="S7" s="24" t="n">
        <f aca="false">I7*($C$24+$D$24)</f>
        <v>144.00096</v>
      </c>
      <c r="T7" s="24" t="n">
        <f aca="false">L7*($C$24+$D$24)</f>
        <v>132.00088</v>
      </c>
      <c r="U7" s="24" t="n">
        <f aca="false">IF(K7="não",M7*($C$24+$D$24),M7*(C$24+D$24+E$24))</f>
        <v>654.04048</v>
      </c>
      <c r="V7" s="24" t="n">
        <f aca="false">VLOOKUP(Q7,'Desl. Base Chapecó'!$C$5:$S$18,13,FALSE())*($C$24+$D$24+$E$24*(VLOOKUP(Q7,'Desl. Base Chapecó'!$C$5:$S$18,17,FALSE())/12))</f>
        <v>431.654012222222</v>
      </c>
      <c r="W7" s="24" t="n">
        <f aca="false">VLOOKUP(Q7,'Desl. Base Chapecó'!$C$5:$S$19,15,FALSE())*(2+(VLOOKUP(Q7,'Desl. Base Chapecó'!$C$5:$S$19,17,FALSE())/12))</f>
        <v>580.833333333333</v>
      </c>
      <c r="X7" s="24" t="n">
        <f aca="false">VLOOKUP(Q7,'Desl. Base Chapecó'!$C$5:$Q$18,14,FALSE())</f>
        <v>0</v>
      </c>
      <c r="Y7" s="24" t="n">
        <f aca="false">VLOOKUP(Q7,'Desl. Base Chapecó'!$C$5:$Q$18,13,FALSE())*'Desl. Base Chapecó'!$E$23+'Desl. Base Chapecó'!$E$24*N7/12</f>
        <v>392.472333333333</v>
      </c>
      <c r="Z7" s="24" t="n">
        <f aca="false">(H7/$AC$5)*'Equipe Técnica'!$C$13</f>
        <v>435.237146195907</v>
      </c>
      <c r="AA7" s="24" t="n">
        <f aca="false">(I7/$AC$5)*'Equipe Técnica'!$C$13</f>
        <v>522.284575435088</v>
      </c>
      <c r="AB7" s="24" t="n">
        <f aca="false">(L7/$AC$5)*'Equipe Técnica'!$C$13</f>
        <v>478.760860815498</v>
      </c>
      <c r="AC7" s="24" t="n">
        <f aca="false">(M7/$AC$5)*'Equipe Técnica'!$C$13</f>
        <v>1349.23515320731</v>
      </c>
      <c r="AD7" s="24" t="n">
        <f aca="false">R7+(($V7+$W7+$X7+$Y7)*12/19)+$Z7</f>
        <v>1442.58090128363</v>
      </c>
      <c r="AE7" s="24" t="n">
        <f aca="false">S7+(($V7+$W7+$X7+$Y7)*12/19)+$AA7</f>
        <v>1553.62849052281</v>
      </c>
      <c r="AF7" s="24" t="n">
        <f aca="false">T7+(($V7+$W7+$X7+$Y7)*12/19)+$AB7</f>
        <v>1498.10469590322</v>
      </c>
      <c r="AG7" s="24" t="n">
        <f aca="false">U7+(($V7+$W7+$X7+$Y7)*12/19)+$AC7</f>
        <v>2890.61858829503</v>
      </c>
      <c r="AI7" s="22" t="str">
        <f aca="false">B7</f>
        <v>APS CAÇADOR</v>
      </c>
      <c r="AJ7" s="68" t="n">
        <f aca="false">VLOOKUP(AI7,Unidades!D$5:H$28,5,)</f>
        <v>0.2223</v>
      </c>
      <c r="AK7" s="48" t="n">
        <f aca="false">AD7*(1+$AJ7)</f>
        <v>1763.26663563898</v>
      </c>
      <c r="AL7" s="48" t="n">
        <f aca="false">AE7*(1+$AJ7)</f>
        <v>1899.00010396603</v>
      </c>
      <c r="AM7" s="48" t="n">
        <f aca="false">AF7*(1+$AJ7)</f>
        <v>1831.1333698025</v>
      </c>
      <c r="AN7" s="48" t="n">
        <f aca="false">AG7*(1+$AJ7)</f>
        <v>3533.20310047302</v>
      </c>
      <c r="AO7" s="48" t="n">
        <f aca="false">((AK7*12)+(AL7*4)+(AM7*2)+AN7)/12</f>
        <v>2995.88915696749</v>
      </c>
      <c r="AP7" s="48" t="n">
        <f aca="false">AO7*$AP$6</f>
        <v>7898.25323200519</v>
      </c>
      <c r="AQ7" s="48" t="n">
        <f aca="false">AO7+AP7</f>
        <v>10894.1423889727</v>
      </c>
      <c r="AR7" s="69"/>
      <c r="AS7" s="70" t="s">
        <v>82</v>
      </c>
      <c r="AT7" s="48" t="n">
        <f aca="false">AK21</f>
        <v>14165.860341268</v>
      </c>
      <c r="AU7" s="48" t="n">
        <f aca="false">AL21</f>
        <v>15907.8361117658</v>
      </c>
      <c r="AV7" s="48" t="n">
        <f aca="false">AM21</f>
        <v>20502.9992354318</v>
      </c>
      <c r="AW7" s="48" t="n">
        <f aca="false">AN21</f>
        <v>43540.7280640737</v>
      </c>
    </row>
    <row r="8" s="2" customFormat="true" ht="15" hidden="false" customHeight="true" outlineLevel="0" collapsed="false">
      <c r="B8" s="22" t="s">
        <v>83</v>
      </c>
      <c r="C8" s="64" t="n">
        <f aca="false">VLOOKUP($B8,Unidades!$D$5:$N$28,6,FALSE())</f>
        <v>1387</v>
      </c>
      <c r="D8" s="64" t="n">
        <f aca="false">VLOOKUP($B8,Unidades!$D$5:$N$28,7,FALSE())</f>
        <v>679</v>
      </c>
      <c r="E8" s="64" t="n">
        <f aca="false">VLOOKUP($B8,Unidades!$D$5:$N$28,8,FALSE())</f>
        <v>79</v>
      </c>
      <c r="F8" s="64" t="n">
        <f aca="false">VLOOKUP($B8,Unidades!$D$5:$N$28,9,FALSE())</f>
        <v>629</v>
      </c>
      <c r="G8" s="64" t="n">
        <f aca="false">D8+E8*$E$6+F8*$F$6</f>
        <v>769.55</v>
      </c>
      <c r="H8" s="65" t="n">
        <f aca="false">IF(G8&lt;750,1.5,IF(G8&lt;2000,2,IF(G8&lt;4000,3,12)))</f>
        <v>2</v>
      </c>
      <c r="I8" s="65" t="n">
        <f aca="false">$I$6*H8</f>
        <v>2.4</v>
      </c>
      <c r="J8" s="65" t="str">
        <f aca="false">VLOOKUP($B8,Unidades!$D$5:$N$28,10,FALSE())</f>
        <v>SIM</v>
      </c>
      <c r="K8" s="65" t="str">
        <f aca="false">VLOOKUP($B8,Unidades!$D$5:$N$28,11,FALSE())</f>
        <v>SIM</v>
      </c>
      <c r="L8" s="65" t="n">
        <f aca="false">$L$6*H8+(IF(J8="SIM",$J$6,0))</f>
        <v>4.2</v>
      </c>
      <c r="M8" s="65" t="n">
        <f aca="false">$M$6*H8+(IF(J8="SIM",$J$6,0))+(IF(K8="SIM",$K$6,0))</f>
        <v>8.2</v>
      </c>
      <c r="N8" s="65" t="n">
        <f aca="false">H8*12+I8*4+L8*2+M8</f>
        <v>50.2</v>
      </c>
      <c r="O8" s="66" t="n">
        <f aca="false">IF(K8="não", N8*(C$24+D$24),N8*(C$24+D$24)+(M8*+E$24))</f>
        <v>3385.03808</v>
      </c>
      <c r="P8" s="67"/>
      <c r="Q8" s="22" t="str">
        <f aca="false">B8</f>
        <v>APS CAMPOS NOVOS</v>
      </c>
      <c r="R8" s="24" t="n">
        <f aca="false">H8*($C$24+$D$24)</f>
        <v>120.0008</v>
      </c>
      <c r="S8" s="24" t="n">
        <f aca="false">I8*($C$24+$D$24)</f>
        <v>144.00096</v>
      </c>
      <c r="T8" s="24" t="n">
        <f aca="false">L8*($C$24+$D$24)</f>
        <v>252.00168</v>
      </c>
      <c r="U8" s="24" t="n">
        <f aca="false">IF(K8="não",M8*($C$24+$D$24),M8*(C$24+D$24+E$24))</f>
        <v>865.02128</v>
      </c>
      <c r="V8" s="24" t="n">
        <f aca="false">VLOOKUP(Q8,'Desl. Base Chapecó'!$C$5:$S$18,13,FALSE())*($C$24+$D$24+$E$24*(VLOOKUP(Q8,'Desl. Base Chapecó'!$C$5:$S$18,17,FALSE())/12))</f>
        <v>212.105850833333</v>
      </c>
      <c r="W8" s="24" t="n">
        <f aca="false">VLOOKUP(Q8,'Desl. Base Chapecó'!$C$5:$S$19,15,FALSE())*(2+(VLOOKUP(Q8,'Desl. Base Chapecó'!$C$5:$S$19,17,FALSE())/12))</f>
        <v>290.416666666667</v>
      </c>
      <c r="X8" s="24" t="n">
        <f aca="false">VLOOKUP(Q8,'Desl. Base Chapecó'!$C$5:$Q$18,14,FALSE())</f>
        <v>0</v>
      </c>
      <c r="Y8" s="24" t="n">
        <f aca="false">VLOOKUP(Q8,'Desl. Base Chapecó'!$C$5:$Q$18,13,FALSE())*'Desl. Base Chapecó'!$E$23+'Desl. Base Chapecó'!$E$24*N8/12</f>
        <v>208.422416666667</v>
      </c>
      <c r="Z8" s="24" t="n">
        <f aca="false">(H8/$AC$5)*'Equipe Técnica'!$C$13</f>
        <v>435.237146195907</v>
      </c>
      <c r="AA8" s="24" t="n">
        <f aca="false">(I8/$AC$5)*'Equipe Técnica'!$C$13</f>
        <v>522.284575435088</v>
      </c>
      <c r="AB8" s="24" t="n">
        <f aca="false">(L8/$AC$5)*'Equipe Técnica'!$C$13</f>
        <v>913.998007011405</v>
      </c>
      <c r="AC8" s="24" t="n">
        <f aca="false">(M8/$AC$5)*'Equipe Técnica'!$C$13</f>
        <v>1784.47229940322</v>
      </c>
      <c r="AD8" s="24" t="n">
        <f aca="false">R8+(($V8+$W8+$X8+$Y8)*12/19)+$Z8</f>
        <v>1004.2557993538</v>
      </c>
      <c r="AE8" s="24" t="n">
        <f aca="false">S8+(($V8+$W8+$X8+$Y8)*12/19)+$AA8</f>
        <v>1115.30338859298</v>
      </c>
      <c r="AF8" s="24" t="n">
        <f aca="false">T8+(($V8+$W8+$X8+$Y8)*12/19)+$AB8</f>
        <v>1615.0175401693</v>
      </c>
      <c r="AG8" s="24" t="n">
        <f aca="false">U8+(($V8+$W8+$X8+$Y8)*12/19)+$AC8</f>
        <v>3098.51143256111</v>
      </c>
      <c r="AI8" s="22" t="str">
        <f aca="false">B8</f>
        <v>APS CAMPOS NOVOS</v>
      </c>
      <c r="AJ8" s="68" t="n">
        <f aca="false">VLOOKUP(AI8,Unidades!D$5:H$28,5,)</f>
        <v>0.2624</v>
      </c>
      <c r="AK8" s="48" t="n">
        <f aca="false">AD8*(1+$AJ8)</f>
        <v>1267.77252110424</v>
      </c>
      <c r="AL8" s="48" t="n">
        <f aca="false">AE8*(1+$AJ8)</f>
        <v>1407.95899775978</v>
      </c>
      <c r="AM8" s="48" t="n">
        <f aca="false">AF8*(1+$AJ8)</f>
        <v>2038.79814270972</v>
      </c>
      <c r="AN8" s="48" t="n">
        <f aca="false">AG8*(1+$AJ8)</f>
        <v>3911.56083246515</v>
      </c>
      <c r="AO8" s="48" t="n">
        <f aca="false">((AK8*12)+(AL8*4)+(AM8*2)+AN8)/12</f>
        <v>2402.85528018122</v>
      </c>
      <c r="AP8" s="48" t="n">
        <f aca="false">AO8*$AP$6</f>
        <v>6334.80028411412</v>
      </c>
      <c r="AQ8" s="48" t="n">
        <f aca="false">AO8+AP8</f>
        <v>8737.65556429533</v>
      </c>
      <c r="AR8" s="69"/>
      <c r="AS8" s="70" t="s">
        <v>84</v>
      </c>
      <c r="AT8" s="48" t="n">
        <f aca="false">AT7*12</f>
        <v>169990.324095217</v>
      </c>
      <c r="AU8" s="48" t="n">
        <f aca="false">AU7*4</f>
        <v>63631.3444470631</v>
      </c>
      <c r="AV8" s="48" t="n">
        <f aca="false">AV7*2</f>
        <v>41005.9984708635</v>
      </c>
      <c r="AW8" s="48" t="n">
        <f aca="false">AW7</f>
        <v>43540.7280640737</v>
      </c>
    </row>
    <row r="9" s="2" customFormat="true" ht="15" hidden="false" customHeight="true" outlineLevel="0" collapsed="false">
      <c r="B9" s="22" t="s">
        <v>85</v>
      </c>
      <c r="C9" s="64" t="n">
        <f aca="false">VLOOKUP($B9,Unidades!$D$5:$N$28,6,FALSE())</f>
        <v>1189</v>
      </c>
      <c r="D9" s="64" t="n">
        <f aca="false">VLOOKUP($B9,Unidades!$D$5:$N$28,7,FALSE())</f>
        <v>472</v>
      </c>
      <c r="E9" s="64" t="n">
        <f aca="false">VLOOKUP($B9,Unidades!$D$5:$N$28,8,FALSE())</f>
        <v>42</v>
      </c>
      <c r="F9" s="64" t="n">
        <f aca="false">VLOOKUP($B9,Unidades!$D$5:$N$28,9,FALSE())</f>
        <v>675</v>
      </c>
      <c r="G9" s="64" t="n">
        <f aca="false">D9+E9*$E$6+F9*$F$6</f>
        <v>554.2</v>
      </c>
      <c r="H9" s="65" t="n">
        <f aca="false">IF(G9&lt;750,1.5,IF(G9&lt;2000,2,IF(G9&lt;4000,3,12)))</f>
        <v>1.5</v>
      </c>
      <c r="I9" s="65" t="n">
        <f aca="false">$I$6*H9</f>
        <v>1.8</v>
      </c>
      <c r="J9" s="65" t="str">
        <f aca="false">VLOOKUP($B9,Unidades!$D$5:$N$28,10,FALSE())</f>
        <v>SIM</v>
      </c>
      <c r="K9" s="65" t="str">
        <f aca="false">VLOOKUP($B9,Unidades!$D$5:$N$28,11,FALSE())</f>
        <v>SIM</v>
      </c>
      <c r="L9" s="65" t="n">
        <f aca="false">$L$6*H9+(IF(J9="SIM",$J$6,0))</f>
        <v>3.65</v>
      </c>
      <c r="M9" s="65" t="n">
        <f aca="false">$M$6*H9+(IF(J9="SIM",$J$6,0))+(IF(K9="SIM",$K$6,0))</f>
        <v>7.65</v>
      </c>
      <c r="N9" s="65" t="n">
        <f aca="false">H9*12+I9*4+L9*2+M9</f>
        <v>40.15</v>
      </c>
      <c r="O9" s="66" t="n">
        <f aca="false">IF(K9="não", N9*(C$24+D$24),N9*(C$24+D$24)+(M9*+E$24))</f>
        <v>2757.01456</v>
      </c>
      <c r="P9" s="67"/>
      <c r="Q9" s="22" t="str">
        <f aca="false">B9</f>
        <v>APS CAPINZAL</v>
      </c>
      <c r="R9" s="24" t="n">
        <f aca="false">H9*($C$24+$D$24)</f>
        <v>90.0006</v>
      </c>
      <c r="S9" s="24" t="n">
        <f aca="false">I9*($C$24+$D$24)</f>
        <v>108.00072</v>
      </c>
      <c r="T9" s="24" t="n">
        <f aca="false">L9*($C$24+$D$24)</f>
        <v>219.00146</v>
      </c>
      <c r="U9" s="24" t="n">
        <f aca="false">IF(K9="não",M9*($C$24+$D$24),M9*(C$24+D$24+E$24))</f>
        <v>807.00156</v>
      </c>
      <c r="V9" s="24" t="n">
        <f aca="false">VLOOKUP(Q9,'Desl. Base Chapecó'!$C$5:$S$18,13,FALSE())*($C$24+$D$24+$E$24*(VLOOKUP(Q9,'Desl. Base Chapecó'!$C$5:$S$18,17,FALSE())/12))</f>
        <v>188.715731944444</v>
      </c>
      <c r="W9" s="24" t="n">
        <f aca="false">VLOOKUP(Q9,'Desl. Base Chapecó'!$C$5:$S$19,15,FALSE())*(2+(VLOOKUP(Q9,'Desl. Base Chapecó'!$C$5:$S$19,17,FALSE())/12))</f>
        <v>290.416666666667</v>
      </c>
      <c r="X9" s="24" t="n">
        <f aca="false">VLOOKUP(Q9,'Desl. Base Chapecó'!$C$5:$Q$18,14,FALSE())</f>
        <v>0</v>
      </c>
      <c r="Y9" s="24" t="n">
        <f aca="false">VLOOKUP(Q9,'Desl. Base Chapecó'!$C$5:$Q$18,13,FALSE())*'Desl. Base Chapecó'!$E$23+'Desl. Base Chapecó'!$E$24*N9/12</f>
        <v>182.97075</v>
      </c>
      <c r="Z9" s="24" t="n">
        <f aca="false">(H9/$AC$5)*'Equipe Técnica'!$C$13</f>
        <v>326.42785964693</v>
      </c>
      <c r="AA9" s="24" t="n">
        <f aca="false">(I9/$AC$5)*'Equipe Técnica'!$C$13</f>
        <v>391.713431576316</v>
      </c>
      <c r="AB9" s="24" t="n">
        <f aca="false">(L9/$AC$5)*'Equipe Técnica'!$C$13</f>
        <v>794.30779180753</v>
      </c>
      <c r="AC9" s="24" t="n">
        <f aca="false">(M9/$AC$5)*'Equipe Técnica'!$C$13</f>
        <v>1664.78208419934</v>
      </c>
      <c r="AD9" s="24" t="n">
        <f aca="false">R9+(($V9+$W9+$X9+$Y9)*12/19)+$Z9</f>
        <v>834.598869296053</v>
      </c>
      <c r="AE9" s="24" t="n">
        <f aca="false">S9+(($V9+$W9+$X9+$Y9)*12/19)+$AA9</f>
        <v>917.884561225439</v>
      </c>
      <c r="AF9" s="24" t="n">
        <f aca="false">T9+(($V9+$W9+$X9+$Y9)*12/19)+$AB9</f>
        <v>1431.47966145665</v>
      </c>
      <c r="AG9" s="24" t="n">
        <f aca="false">U9+(($V9+$W9+$X9+$Y9)*12/19)+$AC9</f>
        <v>2889.95405384847</v>
      </c>
      <c r="AI9" s="22" t="str">
        <f aca="false">B9</f>
        <v>APS CAPINZAL</v>
      </c>
      <c r="AJ9" s="68" t="n">
        <f aca="false">VLOOKUP(AI9,Unidades!D$5:H$28,5,)</f>
        <v>0.2223</v>
      </c>
      <c r="AK9" s="48" t="n">
        <f aca="false">AD9*(1+$AJ9)</f>
        <v>1020.13019794057</v>
      </c>
      <c r="AL9" s="48" t="n">
        <f aca="false">AE9*(1+$AJ9)</f>
        <v>1121.93029918585</v>
      </c>
      <c r="AM9" s="48" t="n">
        <f aca="false">AF9*(1+$AJ9)</f>
        <v>1749.69759019847</v>
      </c>
      <c r="AN9" s="48" t="n">
        <f aca="false">AG9*(1+$AJ9)</f>
        <v>3532.39084001898</v>
      </c>
      <c r="AO9" s="48" t="n">
        <f aca="false">((AK9*12)+(AL9*4)+(AM9*2)+AN9)/12</f>
        <v>1980.08913270384</v>
      </c>
      <c r="AP9" s="48" t="n">
        <f aca="false">AO9*$AP$6</f>
        <v>5220.23498621922</v>
      </c>
      <c r="AQ9" s="48" t="n">
        <f aca="false">AO9+AP9</f>
        <v>7200.32411892307</v>
      </c>
      <c r="AR9" s="69"/>
      <c r="AS9" s="69"/>
      <c r="AT9" s="71"/>
      <c r="AU9" s="71"/>
      <c r="AV9" s="71"/>
      <c r="AW9" s="71"/>
    </row>
    <row r="10" s="2" customFormat="true" ht="15" hidden="false" customHeight="true" outlineLevel="0" collapsed="false">
      <c r="B10" s="22" t="s">
        <v>86</v>
      </c>
      <c r="C10" s="64" t="n">
        <f aca="false">VLOOKUP($B10,Unidades!$D$5:$N$28,6,FALSE())</f>
        <v>3007</v>
      </c>
      <c r="D10" s="64" t="n">
        <f aca="false">VLOOKUP($B10,Unidades!$D$5:$N$28,7,FALSE())</f>
        <v>770</v>
      </c>
      <c r="E10" s="64" t="n">
        <f aca="false">VLOOKUP($B10,Unidades!$D$5:$N$28,8,FALSE())</f>
        <v>817</v>
      </c>
      <c r="F10" s="64" t="n">
        <f aca="false">VLOOKUP($B10,Unidades!$D$5:$N$28,9,FALSE())</f>
        <v>1420</v>
      </c>
      <c r="G10" s="64" t="n">
        <f aca="false">D10+E10*$E$6+F10*$F$6</f>
        <v>1197.95</v>
      </c>
      <c r="H10" s="65" t="n">
        <f aca="false">IF(G10&lt;750,1.5,IF(G10&lt;2000,2,IF(G10&lt;4000,3,12)))</f>
        <v>2</v>
      </c>
      <c r="I10" s="65" t="n">
        <f aca="false">$I$6*H10</f>
        <v>2.4</v>
      </c>
      <c r="J10" s="65" t="str">
        <f aca="false">VLOOKUP($B10,Unidades!$D$5:$N$28,10,FALSE())</f>
        <v>SIM</v>
      </c>
      <c r="K10" s="65" t="str">
        <f aca="false">VLOOKUP($B10,Unidades!$D$5:$N$28,11,FALSE())</f>
        <v>SIM</v>
      </c>
      <c r="L10" s="65" t="n">
        <f aca="false">$L$6*H10+(IF(J10="SIM",$J$6,0))</f>
        <v>4.2</v>
      </c>
      <c r="M10" s="65" t="n">
        <f aca="false">$M$6*H10+(IF(J10="SIM",$J$6,0))+(IF(K10="SIM",$K$6,0))</f>
        <v>8.2</v>
      </c>
      <c r="N10" s="65" t="n">
        <f aca="false">H10*12+I10*4+L10*2+M10</f>
        <v>50.2</v>
      </c>
      <c r="O10" s="66" t="n">
        <f aca="false">IF(K10="não", N10*(C$24+D$24),N10*(C$24+D$24)+(M10*+E$24))</f>
        <v>3385.03808</v>
      </c>
      <c r="P10" s="67"/>
      <c r="Q10" s="22" t="str">
        <f aca="false">B10</f>
        <v>APS CHAPECÓ</v>
      </c>
      <c r="R10" s="24" t="n">
        <f aca="false">H10*($C$24+$D$24)</f>
        <v>120.0008</v>
      </c>
      <c r="S10" s="24" t="n">
        <f aca="false">I10*($C$24+$D$24)</f>
        <v>144.00096</v>
      </c>
      <c r="T10" s="24" t="n">
        <f aca="false">L10*($C$24+$D$24)</f>
        <v>252.00168</v>
      </c>
      <c r="U10" s="24" t="n">
        <f aca="false">IF(K10="não",M10*($C$24+$D$24),M10*(C$24+D$24+E$24))</f>
        <v>865.02128</v>
      </c>
      <c r="V10" s="24" t="n">
        <f aca="false">VLOOKUP(Q10,'Desl. Base Chapecó'!$C$5:$S$18,13,FALSE())*($C$24+$D$24+$E$24*(VLOOKUP(Q10,'Desl. Base Chapecó'!$C$5:$S$18,17,FALSE())/12))</f>
        <v>2.12637444444444</v>
      </c>
      <c r="W10" s="24" t="n">
        <f aca="false">VLOOKUP(Q10,'Desl. Base Chapecó'!$C$5:$S$19,15,FALSE())*(2+(VLOOKUP(Q10,'Desl. Base Chapecó'!$C$5:$S$19,17,FALSE())/12))</f>
        <v>0</v>
      </c>
      <c r="X10" s="24" t="n">
        <f aca="false">VLOOKUP(Q10,'Desl. Base Chapecó'!$C$5:$Q$18,14,FALSE())</f>
        <v>0</v>
      </c>
      <c r="Y10" s="24" t="n">
        <f aca="false">VLOOKUP(Q10,'Desl. Base Chapecó'!$C$5:$Q$18,13,FALSE())*'Desl. Base Chapecó'!$E$23+'Desl. Base Chapecó'!$E$24*N10/12</f>
        <v>29.257</v>
      </c>
      <c r="Z10" s="24" t="n">
        <f aca="false">(H10/$AC$5)*'Equipe Técnica'!$C$13</f>
        <v>435.237146195907</v>
      </c>
      <c r="AA10" s="24" t="n">
        <f aca="false">(I10/$AC$5)*'Equipe Técnica'!$C$13</f>
        <v>522.284575435088</v>
      </c>
      <c r="AB10" s="24" t="n">
        <f aca="false">(L10/$AC$5)*'Equipe Técnica'!$C$13</f>
        <v>913.998007011405</v>
      </c>
      <c r="AC10" s="24" t="n">
        <f aca="false">(M10/$AC$5)*'Equipe Técnica'!$C$13</f>
        <v>1784.47229940322</v>
      </c>
      <c r="AD10" s="24" t="n">
        <f aca="false">R10+(($V10+$W10+$X10+$Y10)*12/19)+$Z10</f>
        <v>575.059024792398</v>
      </c>
      <c r="AE10" s="24" t="n">
        <f aca="false">S10+(($V10+$W10+$X10+$Y10)*12/19)+$AA10</f>
        <v>686.10661403158</v>
      </c>
      <c r="AF10" s="24" t="n">
        <f aca="false">T10+(($V10+$W10+$X10+$Y10)*12/19)+$AB10</f>
        <v>1185.8207656079</v>
      </c>
      <c r="AG10" s="24" t="n">
        <f aca="false">U10+(($V10+$W10+$X10+$Y10)*12/19)+$AC10</f>
        <v>2669.31465799971</v>
      </c>
      <c r="AI10" s="22" t="str">
        <f aca="false">B10</f>
        <v>APS CHAPECÓ</v>
      </c>
      <c r="AJ10" s="68" t="n">
        <f aca="false">VLOOKUP(AI10,Unidades!D$5:H$28,5,)</f>
        <v>0.2223</v>
      </c>
      <c r="AK10" s="48" t="n">
        <f aca="false">AD10*(1+$AJ10)</f>
        <v>702.894646003748</v>
      </c>
      <c r="AL10" s="48" t="n">
        <f aca="false">AE10*(1+$AJ10)</f>
        <v>838.6281143308</v>
      </c>
      <c r="AM10" s="48" t="n">
        <f aca="false">AF10*(1+$AJ10)</f>
        <v>1449.42872180253</v>
      </c>
      <c r="AN10" s="48" t="n">
        <f aca="false">AG10*(1+$AJ10)</f>
        <v>3262.70330647304</v>
      </c>
      <c r="AO10" s="48" t="n">
        <f aca="false">((AK10*12)+(AL10*4)+(AM10*2)+AN10)/12</f>
        <v>1495.90074662052</v>
      </c>
      <c r="AP10" s="48" t="n">
        <f aca="false">AO10*$AP$6</f>
        <v>3943.73833199956</v>
      </c>
      <c r="AQ10" s="48" t="n">
        <f aca="false">AO10+AP10</f>
        <v>5439.63907862009</v>
      </c>
      <c r="AR10" s="69"/>
      <c r="AS10" s="72" t="s">
        <v>72</v>
      </c>
      <c r="AT10" s="48" t="n">
        <f aca="false">(SUM(AT8:AW8))/12</f>
        <v>26514.0329231014</v>
      </c>
      <c r="AU10" s="48"/>
      <c r="AV10" s="71"/>
      <c r="AW10" s="71"/>
    </row>
    <row r="11" s="2" customFormat="true" ht="15" hidden="false" customHeight="true" outlineLevel="0" collapsed="false">
      <c r="B11" s="22" t="s">
        <v>87</v>
      </c>
      <c r="C11" s="64" t="n">
        <f aca="false">VLOOKUP($B11,Unidades!$D$5:$N$28,6,FALSE())</f>
        <v>834</v>
      </c>
      <c r="D11" s="64" t="n">
        <f aca="false">VLOOKUP($B11,Unidades!$D$5:$N$28,7,FALSE())</f>
        <v>741</v>
      </c>
      <c r="E11" s="64" t="n">
        <f aca="false">VLOOKUP($B11,Unidades!$D$5:$N$28,8,FALSE())</f>
        <v>93</v>
      </c>
      <c r="F11" s="64" t="n">
        <f aca="false">VLOOKUP($B11,Unidades!$D$5:$N$28,9,FALSE())</f>
        <v>0</v>
      </c>
      <c r="G11" s="64" t="n">
        <f aca="false">D11+E11*$E$6+F11*$F$6</f>
        <v>773.55</v>
      </c>
      <c r="H11" s="65" t="n">
        <f aca="false">IF(G11&lt;750,1.5,IF(G11&lt;2000,2,IF(G11&lt;4000,3,12)))</f>
        <v>2</v>
      </c>
      <c r="I11" s="65" t="n">
        <f aca="false">$I$6*H11</f>
        <v>2.4</v>
      </c>
      <c r="J11" s="65" t="str">
        <f aca="false">VLOOKUP($B11,Unidades!$D$5:$N$28,10,FALSE())</f>
        <v>SIM</v>
      </c>
      <c r="K11" s="65" t="str">
        <f aca="false">VLOOKUP($B11,Unidades!$D$5:$N$28,11,FALSE())</f>
        <v>SIM</v>
      </c>
      <c r="L11" s="65" t="n">
        <f aca="false">$L$6*H11+(IF(J11="SIM",$J$6,0))</f>
        <v>4.2</v>
      </c>
      <c r="M11" s="65" t="n">
        <f aca="false">$M$6*H11+(IF(J11="SIM",$J$6,0))+(IF(K11="SIM",$K$6,0))</f>
        <v>8.2</v>
      </c>
      <c r="N11" s="65" t="n">
        <f aca="false">H11*12+I11*4+L11*2+M11</f>
        <v>50.2</v>
      </c>
      <c r="O11" s="66" t="n">
        <f aca="false">IF(K11="não", N11*(C$24+D$24),N11*(C$24+D$24)+(M11*+E$24))</f>
        <v>3385.03808</v>
      </c>
      <c r="P11" s="67"/>
      <c r="Q11" s="22" t="str">
        <f aca="false">B11</f>
        <v>APS CONCÓRDIA</v>
      </c>
      <c r="R11" s="24" t="n">
        <f aca="false">H11*($C$24+$D$24)</f>
        <v>120.0008</v>
      </c>
      <c r="S11" s="24" t="n">
        <f aca="false">I11*($C$24+$D$24)</f>
        <v>144.00096</v>
      </c>
      <c r="T11" s="24" t="n">
        <f aca="false">L11*($C$24+$D$24)</f>
        <v>252.00168</v>
      </c>
      <c r="U11" s="24" t="n">
        <f aca="false">IF(K11="não",M11*($C$24+$D$24),M11*(C$24+D$24+E$24))</f>
        <v>865.02128</v>
      </c>
      <c r="V11" s="24" t="n">
        <f aca="false">VLOOKUP(Q11,'Desl. Base Chapecó'!$C$5:$S$18,13,FALSE())*($C$24+$D$24+$E$24*(VLOOKUP(Q11,'Desl. Base Chapecó'!$C$5:$S$18,17,FALSE())/12))</f>
        <v>188.715731944444</v>
      </c>
      <c r="W11" s="24" t="n">
        <f aca="false">VLOOKUP(Q11,'Desl. Base Chapecó'!$C$5:$S$19,15,FALSE())*(2+(VLOOKUP(Q11,'Desl. Base Chapecó'!$C$5:$S$19,17,FALSE())/12))</f>
        <v>290.416666666667</v>
      </c>
      <c r="X11" s="24" t="n">
        <f aca="false">VLOOKUP(Q11,'Desl. Base Chapecó'!$C$5:$Q$18,14,FALSE())</f>
        <v>0</v>
      </c>
      <c r="Y11" s="24" t="n">
        <f aca="false">VLOOKUP(Q11,'Desl. Base Chapecó'!$C$5:$Q$18,13,FALSE())*'Desl. Base Chapecó'!$E$23+'Desl. Base Chapecó'!$E$24*N11/12</f>
        <v>188.46475</v>
      </c>
      <c r="Z11" s="24" t="n">
        <f aca="false">(H11/$AC$5)*'Equipe Técnica'!$C$13</f>
        <v>435.237146195907</v>
      </c>
      <c r="AA11" s="24" t="n">
        <f aca="false">(I11/$AC$5)*'Equipe Técnica'!$C$13</f>
        <v>522.284575435088</v>
      </c>
      <c r="AB11" s="24" t="n">
        <f aca="false">(L11/$AC$5)*'Equipe Técnica'!$C$13</f>
        <v>913.998007011405</v>
      </c>
      <c r="AC11" s="24" t="n">
        <f aca="false">(M11/$AC$5)*'Equipe Técnica'!$C$13</f>
        <v>1784.47229940322</v>
      </c>
      <c r="AD11" s="24" t="n">
        <f aca="false">R11+(($V11+$W11+$X11+$Y11)*12/19)+$Z11</f>
        <v>976.878250581872</v>
      </c>
      <c r="AE11" s="24" t="n">
        <f aca="false">S11+(($V11+$W11+$X11+$Y11)*12/19)+$AA11</f>
        <v>1087.92583982105</v>
      </c>
      <c r="AF11" s="24" t="n">
        <f aca="false">T11+(($V11+$W11+$X11+$Y11)*12/19)+$AB11</f>
        <v>1587.63999139737</v>
      </c>
      <c r="AG11" s="24" t="n">
        <f aca="false">U11+(($V11+$W11+$X11+$Y11)*12/19)+$AC11</f>
        <v>3071.13388378918</v>
      </c>
      <c r="AI11" s="22" t="str">
        <f aca="false">B11</f>
        <v>APS CONCÓRDIA</v>
      </c>
      <c r="AJ11" s="68" t="n">
        <f aca="false">VLOOKUP(AI11,Unidades!D$5:H$28,5,)</f>
        <v>0.2223</v>
      </c>
      <c r="AK11" s="48" t="n">
        <f aca="false">AD11*(1+$AJ11)</f>
        <v>1194.03828568622</v>
      </c>
      <c r="AL11" s="48" t="n">
        <f aca="false">AE11*(1+$AJ11)</f>
        <v>1329.77175401327</v>
      </c>
      <c r="AM11" s="48" t="n">
        <f aca="false">AF11*(1+$AJ11)</f>
        <v>1940.572361485</v>
      </c>
      <c r="AN11" s="48" t="n">
        <f aca="false">AG11*(1+$AJ11)</f>
        <v>3753.84694615552</v>
      </c>
      <c r="AO11" s="48" t="n">
        <f aca="false">((AK11*12)+(AL11*4)+(AM11*2)+AN11)/12</f>
        <v>2273.54484278444</v>
      </c>
      <c r="AP11" s="48" t="n">
        <f aca="false">AO11*$AP$6</f>
        <v>5993.89094915898</v>
      </c>
      <c r="AQ11" s="48" t="n">
        <f aca="false">AO11+AP11</f>
        <v>8267.43579194342</v>
      </c>
      <c r="AR11" s="69"/>
      <c r="AS11" s="72" t="s">
        <v>88</v>
      </c>
      <c r="AT11" s="48" t="n">
        <f aca="false">AT10*12</f>
        <v>318168.395077217</v>
      </c>
      <c r="AU11" s="48"/>
      <c r="AV11" s="71"/>
      <c r="AW11" s="71"/>
    </row>
    <row r="12" s="2" customFormat="true" ht="15" hidden="false" customHeight="true" outlineLevel="0" collapsed="false">
      <c r="B12" s="22" t="s">
        <v>89</v>
      </c>
      <c r="C12" s="64" t="n">
        <f aca="false">VLOOKUP($B12,Unidades!$D$5:$N$28,6,FALSE())</f>
        <v>623</v>
      </c>
      <c r="D12" s="64" t="n">
        <f aca="false">VLOOKUP($B12,Unidades!$D$5:$N$28,7,FALSE())</f>
        <v>547</v>
      </c>
      <c r="E12" s="64" t="n">
        <f aca="false">VLOOKUP($B12,Unidades!$D$5:$N$28,8,FALSE())</f>
        <v>76</v>
      </c>
      <c r="F12" s="64" t="n">
        <f aca="false">VLOOKUP($B12,Unidades!$D$5:$N$28,9,FALSE())</f>
        <v>0</v>
      </c>
      <c r="G12" s="64" t="n">
        <f aca="false">D12+E12*$E$6+F12*$F$6</f>
        <v>573.6</v>
      </c>
      <c r="H12" s="65" t="n">
        <f aca="false">IF(G12&lt;750,1.5,IF(G12&lt;2000,2,IF(G12&lt;4000,3,12)))</f>
        <v>1.5</v>
      </c>
      <c r="I12" s="65" t="n">
        <f aca="false">$I$6*H12</f>
        <v>1.8</v>
      </c>
      <c r="J12" s="65" t="str">
        <f aca="false">VLOOKUP($B12,Unidades!$D$5:$N$28,10,FALSE())</f>
        <v>NÃO</v>
      </c>
      <c r="K12" s="65" t="str">
        <f aca="false">VLOOKUP($B12,Unidades!$D$5:$N$28,11,FALSE())</f>
        <v>SIM</v>
      </c>
      <c r="L12" s="65" t="n">
        <f aca="false">$L$6*H12+(IF(J12="SIM",$J$6,0))</f>
        <v>1.65</v>
      </c>
      <c r="M12" s="65" t="n">
        <f aca="false">$M$6*H12+(IF(J12="SIM",$J$6,0))+(IF(K12="SIM",$K$6,0))</f>
        <v>5.65</v>
      </c>
      <c r="N12" s="65" t="n">
        <f aca="false">H12*12+I12*4+L12*2+M12</f>
        <v>34.15</v>
      </c>
      <c r="O12" s="66" t="n">
        <f aca="false">IF(K12="não", N12*(C$24+D$24),N12*(C$24+D$24)+(M12*+E$24))</f>
        <v>2306.03216</v>
      </c>
      <c r="P12" s="67"/>
      <c r="Q12" s="22" t="str">
        <f aca="false">B12</f>
        <v>APS FRAIBURGO</v>
      </c>
      <c r="R12" s="24" t="n">
        <f aca="false">H12*($C$24+$D$24)</f>
        <v>90.0006</v>
      </c>
      <c r="S12" s="24" t="n">
        <f aca="false">I12*($C$24+$D$24)</f>
        <v>108.00072</v>
      </c>
      <c r="T12" s="24" t="n">
        <f aca="false">L12*($C$24+$D$24)</f>
        <v>99.00066</v>
      </c>
      <c r="U12" s="24" t="n">
        <f aca="false">IF(K12="não",M12*($C$24+$D$24),M12*(C$24+D$24+E$24))</f>
        <v>596.02076</v>
      </c>
      <c r="V12" s="24" t="n">
        <f aca="false">VLOOKUP(Q12,'Desl. Base Chapecó'!$C$5:$S$18,13,FALSE())*($C$24+$D$24+$E$24*(VLOOKUP(Q12,'Desl. Base Chapecó'!$C$5:$S$18,17,FALSE())/12))</f>
        <v>262.075650277778</v>
      </c>
      <c r="W12" s="24" t="n">
        <f aca="false">VLOOKUP(Q12,'Desl. Base Chapecó'!$C$5:$S$19,15,FALSE())*(2+(VLOOKUP(Q12,'Desl. Base Chapecó'!$C$5:$S$19,17,FALSE())/12))</f>
        <v>290.416666666667</v>
      </c>
      <c r="X12" s="24" t="n">
        <f aca="false">VLOOKUP(Q12,'Desl. Base Chapecó'!$C$5:$Q$18,14,FALSE())</f>
        <v>0</v>
      </c>
      <c r="Y12" s="24" t="n">
        <f aca="false">VLOOKUP(Q12,'Desl. Base Chapecó'!$C$5:$Q$18,13,FALSE())*'Desl. Base Chapecó'!$E$23+'Desl. Base Chapecó'!$E$24*N12/12</f>
        <v>242.28525</v>
      </c>
      <c r="Z12" s="24" t="n">
        <f aca="false">(H12/$AC$5)*'Equipe Técnica'!$C$13</f>
        <v>326.42785964693</v>
      </c>
      <c r="AA12" s="24" t="n">
        <f aca="false">(I12/$AC$5)*'Equipe Técnica'!$C$13</f>
        <v>391.713431576316</v>
      </c>
      <c r="AB12" s="24" t="n">
        <f aca="false">(L12/$AC$5)*'Equipe Técnica'!$C$13</f>
        <v>359.070645611623</v>
      </c>
      <c r="AC12" s="24" t="n">
        <f aca="false">(M12/$AC$5)*'Equipe Técnica'!$C$13</f>
        <v>1229.54493800344</v>
      </c>
      <c r="AD12" s="24" t="n">
        <f aca="false">R12+(($V12+$W12+$X12+$Y12)*12/19)+$Z12</f>
        <v>918.393238769737</v>
      </c>
      <c r="AE12" s="24" t="n">
        <f aca="false">S12+(($V12+$W12+$X12+$Y12)*12/19)+$AA12</f>
        <v>1001.67893069912</v>
      </c>
      <c r="AF12" s="24" t="n">
        <f aca="false">T12+(($V12+$W12+$X12+$Y12)*12/19)+$AB12</f>
        <v>960.03608473443</v>
      </c>
      <c r="AG12" s="24" t="n">
        <f aca="false">U12+(($V12+$W12+$X12+$Y12)*12/19)+$AC12</f>
        <v>2327.53047712624</v>
      </c>
      <c r="AI12" s="22" t="str">
        <f aca="false">B12</f>
        <v>APS FRAIBURGO</v>
      </c>
      <c r="AJ12" s="68" t="n">
        <f aca="false">VLOOKUP(AI12,Unidades!D$5:H$28,5,)</f>
        <v>0.2223</v>
      </c>
      <c r="AK12" s="48" t="n">
        <f aca="false">AD12*(1+$AJ12)</f>
        <v>1122.55205574825</v>
      </c>
      <c r="AL12" s="48" t="n">
        <f aca="false">AE12*(1+$AJ12)</f>
        <v>1224.35215699354</v>
      </c>
      <c r="AM12" s="48" t="n">
        <f aca="false">AF12*(1+$AJ12)</f>
        <v>1173.45210637089</v>
      </c>
      <c r="AN12" s="48" t="n">
        <f aca="false">AG12*(1+$AJ12)</f>
        <v>2844.94050219141</v>
      </c>
      <c r="AO12" s="48" t="n">
        <f aca="false">((AK12*12)+(AL12*4)+(AM12*2)+AN12)/12</f>
        <v>1963.3231676572</v>
      </c>
      <c r="AP12" s="48" t="n">
        <f aca="false">AO12*$AP$6</f>
        <v>5176.0338056417</v>
      </c>
      <c r="AQ12" s="48" t="n">
        <f aca="false">AO12+AP12</f>
        <v>7139.35697329889</v>
      </c>
      <c r="AR12" s="69"/>
      <c r="AS12" s="72" t="s">
        <v>73</v>
      </c>
      <c r="AT12" s="48" t="n">
        <f aca="false">AP21</f>
        <v>69900.6322518128</v>
      </c>
      <c r="AU12" s="48"/>
      <c r="AV12" s="69"/>
      <c r="AW12" s="69"/>
    </row>
    <row r="13" s="2" customFormat="true" ht="15" hidden="false" customHeight="true" outlineLevel="0" collapsed="false">
      <c r="B13" s="22" t="s">
        <v>90</v>
      </c>
      <c r="C13" s="64" t="n">
        <f aca="false">VLOOKUP($B13,Unidades!$D$5:$N$28,6,FALSE())</f>
        <v>1853</v>
      </c>
      <c r="D13" s="64" t="n">
        <f aca="false">VLOOKUP($B13,Unidades!$D$5:$N$28,7,FALSE())</f>
        <v>754</v>
      </c>
      <c r="E13" s="64" t="n">
        <f aca="false">VLOOKUP($B13,Unidades!$D$5:$N$28,8,FALSE())</f>
        <v>299</v>
      </c>
      <c r="F13" s="64" t="n">
        <f aca="false">VLOOKUP($B13,Unidades!$D$5:$N$28,9,FALSE())</f>
        <v>800</v>
      </c>
      <c r="G13" s="64" t="n">
        <f aca="false">D13+E13*$E$6+F13*$F$6</f>
        <v>938.65</v>
      </c>
      <c r="H13" s="65" t="n">
        <f aca="false">IF(G13&lt;750,1.5,IF(G13&lt;2000,2,IF(G13&lt;4000,3,12)))</f>
        <v>2</v>
      </c>
      <c r="I13" s="65" t="n">
        <f aca="false">$I$6*H13</f>
        <v>2.4</v>
      </c>
      <c r="J13" s="65" t="str">
        <f aca="false">VLOOKUP($B13,Unidades!$D$5:$N$28,10,FALSE())</f>
        <v>SIM</v>
      </c>
      <c r="K13" s="65" t="str">
        <f aca="false">VLOOKUP($B13,Unidades!$D$5:$N$28,11,FALSE())</f>
        <v>SIM</v>
      </c>
      <c r="L13" s="65" t="n">
        <f aca="false">$L$6*H13+(IF(J13="SIM",$J$6,0))</f>
        <v>4.2</v>
      </c>
      <c r="M13" s="65" t="n">
        <f aca="false">$M$6*H13+(IF(J13="SIM",$J$6,0))+(IF(K13="SIM",$K$6,0))</f>
        <v>8.2</v>
      </c>
      <c r="N13" s="65" t="n">
        <f aca="false">H13*12+I13*4+L13*2+M13</f>
        <v>50.2</v>
      </c>
      <c r="O13" s="66" t="n">
        <f aca="false">IF(K13="não", N13*(C$24+D$24),N13*(C$24+D$24)+(M13*+E$24))</f>
        <v>3385.03808</v>
      </c>
      <c r="P13" s="67"/>
      <c r="Q13" s="22" t="str">
        <f aca="false">B13</f>
        <v>APS JOAÇABA</v>
      </c>
      <c r="R13" s="24" t="n">
        <f aca="false">H13*($C$24+$D$24)</f>
        <v>120.0008</v>
      </c>
      <c r="S13" s="24" t="n">
        <f aca="false">I13*($C$24+$D$24)</f>
        <v>144.00096</v>
      </c>
      <c r="T13" s="24" t="n">
        <f aca="false">L13*($C$24+$D$24)</f>
        <v>252.00168</v>
      </c>
      <c r="U13" s="24" t="n">
        <f aca="false">IF(K13="não",M13*($C$24+$D$24),M13*(C$24+D$24+E$24))</f>
        <v>865.02128</v>
      </c>
      <c r="V13" s="24" t="n">
        <f aca="false">VLOOKUP(Q13,'Desl. Base Chapecó'!$C$5:$S$18,13,FALSE())*($C$24+$D$24+$E$24*(VLOOKUP(Q13,'Desl. Base Chapecó'!$C$5:$S$18,17,FALSE())/12))</f>
        <v>212.105850833333</v>
      </c>
      <c r="W13" s="24" t="n">
        <f aca="false">VLOOKUP(Q13,'Desl. Base Chapecó'!$C$5:$S$19,15,FALSE())*(2+(VLOOKUP(Q13,'Desl. Base Chapecó'!$C$5:$S$19,17,FALSE())/12))</f>
        <v>290.416666666667</v>
      </c>
      <c r="X13" s="24" t="n">
        <f aca="false">VLOOKUP(Q13,'Desl. Base Chapecó'!$C$5:$Q$18,14,FALSE())</f>
        <v>0</v>
      </c>
      <c r="Y13" s="24" t="n">
        <f aca="false">VLOOKUP(Q13,'Desl. Base Chapecó'!$C$5:$Q$18,13,FALSE())*'Desl. Base Chapecó'!$E$23+'Desl. Base Chapecó'!$E$24*N13/12</f>
        <v>208.422416666667</v>
      </c>
      <c r="Z13" s="24" t="n">
        <f aca="false">(H13/$AC$5)*'Equipe Técnica'!$C$13</f>
        <v>435.237146195907</v>
      </c>
      <c r="AA13" s="24" t="n">
        <f aca="false">(I13/$AC$5)*'Equipe Técnica'!$C$13</f>
        <v>522.284575435088</v>
      </c>
      <c r="AB13" s="24" t="n">
        <f aca="false">(L13/$AC$5)*'Equipe Técnica'!$C$13</f>
        <v>913.998007011405</v>
      </c>
      <c r="AC13" s="24" t="n">
        <f aca="false">(M13/$AC$5)*'Equipe Técnica'!$C$13</f>
        <v>1784.47229940322</v>
      </c>
      <c r="AD13" s="24" t="n">
        <f aca="false">R13+(($V13+$W13+$X13+$Y13)*12/19)+$Z13</f>
        <v>1004.2557993538</v>
      </c>
      <c r="AE13" s="24" t="n">
        <f aca="false">S13+(($V13+$W13+$X13+$Y13)*12/19)+$AA13</f>
        <v>1115.30338859298</v>
      </c>
      <c r="AF13" s="24" t="n">
        <f aca="false">T13+(($V13+$W13+$X13+$Y13)*12/19)+$AB13</f>
        <v>1615.0175401693</v>
      </c>
      <c r="AG13" s="24" t="n">
        <f aca="false">U13+(($V13+$W13+$X13+$Y13)*12/19)+$AC13</f>
        <v>3098.51143256111</v>
      </c>
      <c r="AI13" s="22" t="str">
        <f aca="false">B13</f>
        <v>APS JOAÇABA</v>
      </c>
      <c r="AJ13" s="68" t="n">
        <f aca="false">VLOOKUP(AI13,Unidades!D$5:H$28,5,)</f>
        <v>0.2354</v>
      </c>
      <c r="AK13" s="48" t="n">
        <f aca="false">AD13*(1+$AJ13)</f>
        <v>1240.65761452169</v>
      </c>
      <c r="AL13" s="48" t="n">
        <f aca="false">AE13*(1+$AJ13)</f>
        <v>1377.84580626777</v>
      </c>
      <c r="AM13" s="48" t="n">
        <f aca="false">AF13*(1+$AJ13)</f>
        <v>1995.19266912515</v>
      </c>
      <c r="AN13" s="48" t="n">
        <f aca="false">AG13*(1+$AJ13)</f>
        <v>3827.901023786</v>
      </c>
      <c r="AO13" s="48" t="n">
        <f aca="false">((AK13*12)+(AL13*4)+(AM13*2)+AN13)/12</f>
        <v>2351.4634134473</v>
      </c>
      <c r="AP13" s="48" t="n">
        <f aca="false">AO13*$AP$6</f>
        <v>6199.31263545198</v>
      </c>
      <c r="AQ13" s="48" t="n">
        <f aca="false">AO13+AP13</f>
        <v>8550.77604889928</v>
      </c>
      <c r="AR13" s="69"/>
      <c r="AS13" s="72" t="s">
        <v>91</v>
      </c>
      <c r="AT13" s="48" t="n">
        <f aca="false">AT12*12</f>
        <v>838807.587021754</v>
      </c>
      <c r="AU13" s="48"/>
      <c r="AV13" s="71"/>
      <c r="AW13" s="71"/>
    </row>
    <row r="14" s="2" customFormat="true" ht="15" hidden="false" customHeight="true" outlineLevel="0" collapsed="false">
      <c r="B14" s="22" t="s">
        <v>92</v>
      </c>
      <c r="C14" s="64" t="n">
        <f aca="false">VLOOKUP($B14,Unidades!$D$5:$N$28,6,FALSE())</f>
        <v>919</v>
      </c>
      <c r="D14" s="64" t="n">
        <f aca="false">VLOOKUP($B14,Unidades!$D$5:$N$28,7,FALSE())</f>
        <v>447</v>
      </c>
      <c r="E14" s="64" t="n">
        <f aca="false">VLOOKUP($B14,Unidades!$D$5:$N$28,8,FALSE())</f>
        <v>74</v>
      </c>
      <c r="F14" s="64" t="n">
        <f aca="false">VLOOKUP($B14,Unidades!$D$5:$N$28,9,FALSE())</f>
        <v>398</v>
      </c>
      <c r="G14" s="64" t="n">
        <f aca="false">D14+E14*$E$6+F14*$F$6</f>
        <v>512.7</v>
      </c>
      <c r="H14" s="65" t="n">
        <f aca="false">IF(G14&lt;750,1.5,IF(G14&lt;2000,2,IF(G14&lt;4000,3,12)))</f>
        <v>1.5</v>
      </c>
      <c r="I14" s="65" t="n">
        <f aca="false">$I$6*H14</f>
        <v>1.8</v>
      </c>
      <c r="J14" s="65" t="str">
        <f aca="false">VLOOKUP($B14,Unidades!$D$5:$N$28,10,FALSE())</f>
        <v>NÃO</v>
      </c>
      <c r="K14" s="65" t="str">
        <f aca="false">VLOOKUP($B14,Unidades!$D$5:$N$28,11,FALSE())</f>
        <v>SIM</v>
      </c>
      <c r="L14" s="65" t="n">
        <f aca="false">$L$6*H14+(IF(J14="SIM",$J$6,0))</f>
        <v>1.65</v>
      </c>
      <c r="M14" s="65" t="n">
        <f aca="false">$M$6*H14+(IF(J14="SIM",$J$6,0))+(IF(K14="SIM",$K$6,0))</f>
        <v>5.65</v>
      </c>
      <c r="N14" s="65" t="n">
        <f aca="false">H14*12+I14*4+L14*2+M14</f>
        <v>34.15</v>
      </c>
      <c r="O14" s="66" t="n">
        <f aca="false">IF(K14="não", N14*(C$24+D$24),N14*(C$24+D$24)+(M14*+E$24))</f>
        <v>2306.03216</v>
      </c>
      <c r="P14" s="67"/>
      <c r="Q14" s="22" t="str">
        <f aca="false">B14</f>
        <v>APS MARAVILHA</v>
      </c>
      <c r="R14" s="24" t="n">
        <f aca="false">H14*($C$24+$D$24)</f>
        <v>90.0006</v>
      </c>
      <c r="S14" s="24" t="n">
        <f aca="false">I14*($C$24+$D$24)</f>
        <v>108.00072</v>
      </c>
      <c r="T14" s="24" t="n">
        <f aca="false">L14*($C$24+$D$24)</f>
        <v>99.00066</v>
      </c>
      <c r="U14" s="24" t="n">
        <f aca="false">IF(K14="não",M14*($C$24+$D$24),M14*(C$24+D$24+E$24))</f>
        <v>596.02076</v>
      </c>
      <c r="V14" s="24" t="n">
        <f aca="false">VLOOKUP(Q14,'Desl. Base Chapecó'!$C$5:$S$18,13,FALSE())*($C$24+$D$24+$E$24*(VLOOKUP(Q14,'Desl. Base Chapecó'!$C$5:$S$18,17,FALSE())/12))</f>
        <v>102.065973333333</v>
      </c>
      <c r="W14" s="24" t="n">
        <f aca="false">VLOOKUP(Q14,'Desl. Base Chapecó'!$C$5:$S$19,15,FALSE())*(2+(VLOOKUP(Q14,'Desl. Base Chapecó'!$C$5:$S$19,17,FALSE())/12))</f>
        <v>0</v>
      </c>
      <c r="X14" s="24" t="n">
        <f aca="false">VLOOKUP(Q14,'Desl. Base Chapecó'!$C$5:$Q$18,14,FALSE())</f>
        <v>0</v>
      </c>
      <c r="Y14" s="24" t="n">
        <f aca="false">VLOOKUP(Q14,'Desl. Base Chapecó'!$C$5:$Q$18,13,FALSE())*'Desl. Base Chapecó'!$E$23+'Desl. Base Chapecó'!$E$24*N14/12</f>
        <v>105.756666666667</v>
      </c>
      <c r="Z14" s="24" t="n">
        <f aca="false">(H14/$AC$5)*'Equipe Técnica'!$C$13</f>
        <v>326.42785964693</v>
      </c>
      <c r="AA14" s="24" t="n">
        <f aca="false">(I14/$AC$5)*'Equipe Técnica'!$C$13</f>
        <v>391.713431576316</v>
      </c>
      <c r="AB14" s="24" t="n">
        <f aca="false">(L14/$AC$5)*'Equipe Técnica'!$C$13</f>
        <v>359.070645611623</v>
      </c>
      <c r="AC14" s="24" t="n">
        <f aca="false">(M14/$AC$5)*'Equipe Técnica'!$C$13</f>
        <v>1229.54493800344</v>
      </c>
      <c r="AD14" s="24" t="n">
        <f aca="false">R14+(($V14+$W14+$X14+$Y14)*12/19)+$Z14</f>
        <v>547.684863857457</v>
      </c>
      <c r="AE14" s="24" t="n">
        <f aca="false">S14+(($V14+$W14+$X14+$Y14)*12/19)+$AA14</f>
        <v>630.970555786842</v>
      </c>
      <c r="AF14" s="24" t="n">
        <f aca="false">T14+(($V14+$W14+$X14+$Y14)*12/19)+$AB14</f>
        <v>589.32770982215</v>
      </c>
      <c r="AG14" s="24" t="n">
        <f aca="false">U14+(($V14+$W14+$X14+$Y14)*12/19)+$AC14</f>
        <v>1956.82210221396</v>
      </c>
      <c r="AI14" s="22" t="str">
        <f aca="false">B14</f>
        <v>APS MARAVILHA</v>
      </c>
      <c r="AJ14" s="68" t="n">
        <f aca="false">VLOOKUP(AI14,Unidades!D$5:H$28,5,)</f>
        <v>0.2487</v>
      </c>
      <c r="AK14" s="48" t="n">
        <f aca="false">AD14*(1+$AJ14)</f>
        <v>683.894089498806</v>
      </c>
      <c r="AL14" s="48" t="n">
        <f aca="false">AE14*(1+$AJ14)</f>
        <v>787.89293301103</v>
      </c>
      <c r="AM14" s="48" t="n">
        <f aca="false">AF14*(1+$AJ14)</f>
        <v>735.893511254918</v>
      </c>
      <c r="AN14" s="48" t="n">
        <f aca="false">AG14*(1+$AJ14)</f>
        <v>2443.48375903458</v>
      </c>
      <c r="AO14" s="48" t="n">
        <f aca="false">((AK14*12)+(AL14*4)+(AM14*2)+AN14)/12</f>
        <v>1272.79763229785</v>
      </c>
      <c r="AP14" s="48" t="n">
        <f aca="false">AO14*$AP$6</f>
        <v>3355.55739423979</v>
      </c>
      <c r="AQ14" s="48" t="n">
        <f aca="false">AO14+AP14</f>
        <v>4628.35502653764</v>
      </c>
      <c r="AR14" s="69"/>
      <c r="AS14" s="72" t="s">
        <v>74</v>
      </c>
      <c r="AT14" s="48" t="n">
        <f aca="false">AT10+AT12</f>
        <v>96414.6651749142</v>
      </c>
      <c r="AU14" s="48"/>
      <c r="AV14" s="71"/>
      <c r="AW14" s="71"/>
    </row>
    <row r="15" s="2" customFormat="true" ht="15" hidden="false" customHeight="true" outlineLevel="0" collapsed="false">
      <c r="B15" s="22" t="s">
        <v>93</v>
      </c>
      <c r="C15" s="64" t="n">
        <f aca="false">VLOOKUP($B15,Unidades!$D$5:$N$28,6,FALSE())</f>
        <v>460</v>
      </c>
      <c r="D15" s="64" t="n">
        <f aca="false">VLOOKUP($B15,Unidades!$D$5:$N$28,7,FALSE())</f>
        <v>436</v>
      </c>
      <c r="E15" s="64" t="n">
        <f aca="false">VLOOKUP($B15,Unidades!$D$5:$N$28,8,FALSE())</f>
        <v>24</v>
      </c>
      <c r="F15" s="64" t="n">
        <f aca="false">VLOOKUP($B15,Unidades!$D$5:$N$28,9,FALSE())</f>
        <v>0</v>
      </c>
      <c r="G15" s="64" t="n">
        <f aca="false">D15+E15*$E$6+F15*$F$6</f>
        <v>444.4</v>
      </c>
      <c r="H15" s="65" t="n">
        <f aca="false">IF(G15&lt;750,1.5,IF(G15&lt;2000,2,IF(G15&lt;4000,3,12)))</f>
        <v>1.5</v>
      </c>
      <c r="I15" s="65" t="n">
        <f aca="false">$I$6*H15</f>
        <v>1.8</v>
      </c>
      <c r="J15" s="65" t="str">
        <f aca="false">VLOOKUP($B15,Unidades!$D$5:$N$28,10,FALSE())</f>
        <v>NÃO</v>
      </c>
      <c r="K15" s="65" t="str">
        <f aca="false">VLOOKUP($B15,Unidades!$D$5:$N$28,11,FALSE())</f>
        <v>SIM</v>
      </c>
      <c r="L15" s="65" t="n">
        <f aca="false">$L$6*H15+(IF(J15="SIM",$J$6,0))</f>
        <v>1.65</v>
      </c>
      <c r="M15" s="65" t="n">
        <f aca="false">$M$6*H15+(IF(J15="SIM",$J$6,0))+(IF(K15="SIM",$K$6,0))</f>
        <v>5.65</v>
      </c>
      <c r="N15" s="65" t="n">
        <f aca="false">H15*12+I15*4+L15*2+M15</f>
        <v>34.15</v>
      </c>
      <c r="O15" s="66" t="n">
        <f aca="false">IF(K15="não", N15*(C$24+D$24),N15*(C$24+D$24)+(M15*+E$24))</f>
        <v>2306.03216</v>
      </c>
      <c r="P15" s="67"/>
      <c r="Q15" s="22" t="str">
        <f aca="false">B15</f>
        <v>APS PINHALZINHO</v>
      </c>
      <c r="R15" s="24" t="n">
        <f aca="false">H15*($C$24+$D$24)</f>
        <v>90.0006</v>
      </c>
      <c r="S15" s="24" t="n">
        <f aca="false">I15*($C$24+$D$24)</f>
        <v>108.00072</v>
      </c>
      <c r="T15" s="24" t="n">
        <f aca="false">L15*($C$24+$D$24)</f>
        <v>99.00066</v>
      </c>
      <c r="U15" s="24" t="n">
        <f aca="false">IF(K15="não",M15*($C$24+$D$24),M15*(C$24+D$24+E$24))</f>
        <v>596.02076</v>
      </c>
      <c r="V15" s="24" t="n">
        <f aca="false">VLOOKUP(Q15,'Desl. Base Chapecó'!$C$5:$S$18,13,FALSE())*($C$24+$D$24+$E$24*(VLOOKUP(Q15,'Desl. Base Chapecó'!$C$5:$S$18,17,FALSE())/12))</f>
        <v>102.065973333333</v>
      </c>
      <c r="W15" s="24" t="n">
        <f aca="false">VLOOKUP(Q15,'Desl. Base Chapecó'!$C$5:$S$19,15,FALSE())*(2+(VLOOKUP(Q15,'Desl. Base Chapecó'!$C$5:$S$19,17,FALSE())/12))</f>
        <v>0</v>
      </c>
      <c r="X15" s="24" t="n">
        <f aca="false">VLOOKUP(Q15,'Desl. Base Chapecó'!$C$5:$Q$18,14,FALSE())</f>
        <v>0</v>
      </c>
      <c r="Y15" s="24" t="n">
        <f aca="false">VLOOKUP(Q15,'Desl. Base Chapecó'!$C$5:$Q$18,13,FALSE())*'Desl. Base Chapecó'!$E$23+'Desl. Base Chapecó'!$E$24*N15/12</f>
        <v>105.756666666667</v>
      </c>
      <c r="Z15" s="24" t="n">
        <f aca="false">(H15/$AC$5)*'Equipe Técnica'!$C$13</f>
        <v>326.42785964693</v>
      </c>
      <c r="AA15" s="24" t="n">
        <f aca="false">(I15/$AC$5)*'Equipe Técnica'!$C$13</f>
        <v>391.713431576316</v>
      </c>
      <c r="AB15" s="24" t="n">
        <f aca="false">(L15/$AC$5)*'Equipe Técnica'!$C$13</f>
        <v>359.070645611623</v>
      </c>
      <c r="AC15" s="24" t="n">
        <f aca="false">(M15/$AC$5)*'Equipe Técnica'!$C$13</f>
        <v>1229.54493800344</v>
      </c>
      <c r="AD15" s="24" t="n">
        <f aca="false">R15+(($V15+$W15+$X15+$Y15)*12/19)+$Z15</f>
        <v>547.684863857457</v>
      </c>
      <c r="AE15" s="24" t="n">
        <f aca="false">S15+(($V15+$W15+$X15+$Y15)*12/19)+$AA15</f>
        <v>630.970555786842</v>
      </c>
      <c r="AF15" s="24" t="n">
        <f aca="false">T15+(($V15+$W15+$X15+$Y15)*12/19)+$AB15</f>
        <v>589.32770982215</v>
      </c>
      <c r="AG15" s="24" t="n">
        <f aca="false">U15+(($V15+$W15+$X15+$Y15)*12/19)+$AC15</f>
        <v>1956.82210221396</v>
      </c>
      <c r="AI15" s="22" t="str">
        <f aca="false">B15</f>
        <v>APS PINHALZINHO</v>
      </c>
      <c r="AJ15" s="68" t="n">
        <f aca="false">VLOOKUP(AI15,Unidades!D$5:H$28,5,)</f>
        <v>0.2223</v>
      </c>
      <c r="AK15" s="48" t="n">
        <f aca="false">AD15*(1+$AJ15)</f>
        <v>669.435209092969</v>
      </c>
      <c r="AL15" s="48" t="n">
        <f aca="false">AE15*(1+$AJ15)</f>
        <v>771.235310338258</v>
      </c>
      <c r="AM15" s="48" t="n">
        <f aca="false">AF15*(1+$AJ15)</f>
        <v>720.335259715613</v>
      </c>
      <c r="AN15" s="48" t="n">
        <f aca="false">AG15*(1+$AJ15)</f>
        <v>2391.82365553613</v>
      </c>
      <c r="AO15" s="48" t="n">
        <f aca="false">((AK15*12)+(AL15*4)+(AM15*2)+AN15)/12</f>
        <v>1245.888160453</v>
      </c>
      <c r="AP15" s="48" t="n">
        <f aca="false">AO15*$AP$6</f>
        <v>3284.61424119428</v>
      </c>
      <c r="AQ15" s="48" t="n">
        <f aca="false">AO15+AP15</f>
        <v>4530.50240164728</v>
      </c>
      <c r="AR15" s="69"/>
      <c r="AS15" s="72" t="s">
        <v>94</v>
      </c>
      <c r="AT15" s="48" t="n">
        <f aca="false">AT11+AT13</f>
        <v>1156975.98209897</v>
      </c>
      <c r="AU15" s="48"/>
      <c r="AV15" s="69"/>
      <c r="AW15" s="69"/>
    </row>
    <row r="16" s="2" customFormat="true" ht="15" hidden="false" customHeight="true" outlineLevel="0" collapsed="false">
      <c r="B16" s="22" t="s">
        <v>95</v>
      </c>
      <c r="C16" s="64" t="n">
        <f aca="false">VLOOKUP($B16,Unidades!$D$5:$N$28,6,FALSE())</f>
        <v>2253</v>
      </c>
      <c r="D16" s="64" t="n">
        <f aca="false">VLOOKUP($B16,Unidades!$D$5:$N$28,7,FALSE())</f>
        <v>726</v>
      </c>
      <c r="E16" s="64" t="n">
        <f aca="false">VLOOKUP($B16,Unidades!$D$5:$N$28,8,FALSE())</f>
        <v>290</v>
      </c>
      <c r="F16" s="64" t="n">
        <f aca="false">VLOOKUP($B16,Unidades!$D$5:$N$28,9,FALSE())</f>
        <v>1237</v>
      </c>
      <c r="G16" s="64" t="n">
        <f aca="false">D16+E16*$E$6+F16*$F$6</f>
        <v>951.2</v>
      </c>
      <c r="H16" s="65" t="n">
        <f aca="false">IF(G16&lt;750,1.5,IF(G16&lt;2000,2,IF(G16&lt;4000,3,12)))</f>
        <v>2</v>
      </c>
      <c r="I16" s="65" t="n">
        <f aca="false">$I$6*H16</f>
        <v>2.4</v>
      </c>
      <c r="J16" s="65" t="str">
        <f aca="false">VLOOKUP($B16,Unidades!$D$5:$N$28,10,FALSE())</f>
        <v>NÃO</v>
      </c>
      <c r="K16" s="65" t="str">
        <f aca="false">VLOOKUP($B16,Unidades!$D$5:$N$28,11,FALSE())</f>
        <v>SIM</v>
      </c>
      <c r="L16" s="65" t="n">
        <f aca="false">$L$6*H16+(IF(J16="SIM",$J$6,0))</f>
        <v>2.2</v>
      </c>
      <c r="M16" s="65" t="n">
        <f aca="false">$M$6*H16+(IF(J16="SIM",$J$6,0))+(IF(K16="SIM",$K$6,0))</f>
        <v>6.2</v>
      </c>
      <c r="N16" s="65" t="n">
        <f aca="false">H16*12+I16*4+L16*2+M16</f>
        <v>44.2</v>
      </c>
      <c r="O16" s="66" t="n">
        <f aca="false">IF(K16="não", N16*(C$24+D$24),N16*(C$24+D$24)+(M16*+E$24))</f>
        <v>2934.05568</v>
      </c>
      <c r="P16" s="67"/>
      <c r="Q16" s="22" t="str">
        <f aca="false">B16</f>
        <v>APS SÃO MIGUEL D OESTE</v>
      </c>
      <c r="R16" s="24" t="n">
        <f aca="false">H16*($C$24+$D$24)</f>
        <v>120.0008</v>
      </c>
      <c r="S16" s="24" t="n">
        <f aca="false">I16*($C$24+$D$24)</f>
        <v>144.00096</v>
      </c>
      <c r="T16" s="24" t="n">
        <f aca="false">L16*($C$24+$D$24)</f>
        <v>132.00088</v>
      </c>
      <c r="U16" s="24" t="n">
        <f aca="false">IF(K16="não",M16*($C$24+$D$24),M16*(C$24+D$24+E$24))</f>
        <v>654.04048</v>
      </c>
      <c r="V16" s="24" t="n">
        <f aca="false">VLOOKUP(Q16,'Desl. Base Chapecó'!$C$5:$S$18,13,FALSE())*($C$24+$D$24+$E$24*(VLOOKUP(Q16,'Desl. Base Chapecó'!$C$5:$S$18,17,FALSE())/12))</f>
        <v>274.302303333333</v>
      </c>
      <c r="W16" s="24" t="n">
        <f aca="false">VLOOKUP(Q16,'Desl. Base Chapecó'!$C$5:$S$19,15,FALSE())*(2+(VLOOKUP(Q16,'Desl. Base Chapecó'!$C$5:$S$19,17,FALSE())/12))</f>
        <v>0</v>
      </c>
      <c r="X16" s="24" t="n">
        <f aca="false">VLOOKUP(Q16,'Desl. Base Chapecó'!$C$5:$Q$18,14,FALSE())</f>
        <v>0</v>
      </c>
      <c r="Y16" s="24" t="n">
        <f aca="false">VLOOKUP(Q16,'Desl. Base Chapecó'!$C$5:$Q$18,13,FALSE())*'Desl. Base Chapecó'!$E$23+'Desl. Base Chapecó'!$E$24*N16/12</f>
        <v>258.211666666667</v>
      </c>
      <c r="Z16" s="24" t="n">
        <f aca="false">(H16/$AC$5)*'Equipe Técnica'!$C$13</f>
        <v>435.237146195907</v>
      </c>
      <c r="AA16" s="24" t="n">
        <f aca="false">(I16/$AC$5)*'Equipe Técnica'!$C$13</f>
        <v>522.284575435088</v>
      </c>
      <c r="AB16" s="24" t="n">
        <f aca="false">(L16/$AC$5)*'Equipe Técnica'!$C$13</f>
        <v>478.760860815498</v>
      </c>
      <c r="AC16" s="24" t="n">
        <f aca="false">(M16/$AC$5)*'Equipe Técnica'!$C$13</f>
        <v>1349.23515320731</v>
      </c>
      <c r="AD16" s="24" t="n">
        <f aca="false">R16+(($V16+$W16+$X16+$Y16)*12/19)+$Z16</f>
        <v>891.562558827486</v>
      </c>
      <c r="AE16" s="24" t="n">
        <f aca="false">S16+(($V16+$W16+$X16+$Y16)*12/19)+$AA16</f>
        <v>1002.61014806667</v>
      </c>
      <c r="AF16" s="24" t="n">
        <f aca="false">T16+(($V16+$W16+$X16+$Y16)*12/19)+$AB16</f>
        <v>947.086353447077</v>
      </c>
      <c r="AG16" s="24" t="n">
        <f aca="false">U16+(($V16+$W16+$X16+$Y16)*12/19)+$AC16</f>
        <v>2339.60024583889</v>
      </c>
      <c r="AI16" s="22" t="str">
        <f aca="false">B16</f>
        <v>APS SÃO MIGUEL D OESTE</v>
      </c>
      <c r="AJ16" s="68" t="n">
        <f aca="false">VLOOKUP(AI16,Unidades!D$5:H$28,5,)</f>
        <v>0.2288</v>
      </c>
      <c r="AK16" s="48" t="n">
        <f aca="false">AD16*(1+$AJ16)</f>
        <v>1095.55207228721</v>
      </c>
      <c r="AL16" s="48" t="n">
        <f aca="false">AE16*(1+$AJ16)</f>
        <v>1232.00734994432</v>
      </c>
      <c r="AM16" s="48" t="n">
        <f aca="false">AF16*(1+$AJ16)</f>
        <v>1163.77971111577</v>
      </c>
      <c r="AN16" s="48" t="n">
        <f aca="false">AG16*(1+$AJ16)</f>
        <v>2874.90078208683</v>
      </c>
      <c r="AO16" s="48" t="n">
        <f aca="false">((AK16*12)+(AL16*4)+(AM16*2)+AN16)/12</f>
        <v>1939.75953929519</v>
      </c>
      <c r="AP16" s="48" t="n">
        <f aca="false">AO16*$AP$6</f>
        <v>5113.91151268731</v>
      </c>
      <c r="AQ16" s="48" t="n">
        <f aca="false">AO16+AP16</f>
        <v>7053.67105198249</v>
      </c>
      <c r="AR16" s="69"/>
      <c r="AS16" s="69"/>
      <c r="AT16" s="69"/>
      <c r="AU16" s="69"/>
      <c r="AV16" s="69"/>
      <c r="AW16" s="69"/>
    </row>
    <row r="17" s="2" customFormat="true" ht="15" hidden="false" customHeight="true" outlineLevel="0" collapsed="false">
      <c r="B17" s="22" t="s">
        <v>96</v>
      </c>
      <c r="C17" s="64" t="n">
        <f aca="false">VLOOKUP($B17,Unidades!$D$5:$N$28,6,FALSE())</f>
        <v>1818</v>
      </c>
      <c r="D17" s="64" t="n">
        <f aca="false">VLOOKUP($B17,Unidades!$D$5:$N$28,7,FALSE())</f>
        <v>595</v>
      </c>
      <c r="E17" s="64" t="n">
        <f aca="false">VLOOKUP($B17,Unidades!$D$5:$N$28,8,FALSE())</f>
        <v>687</v>
      </c>
      <c r="F17" s="64" t="n">
        <f aca="false">VLOOKUP($B17,Unidades!$D$5:$N$28,9,FALSE())</f>
        <v>536</v>
      </c>
      <c r="G17" s="64" t="n">
        <f aca="false">D17+E17*$E$6+F17*$F$6</f>
        <v>889.05</v>
      </c>
      <c r="H17" s="65" t="n">
        <f aca="false">IF(G17&lt;750,1.5,IF(G17&lt;2000,2,IF(G17&lt;4000,3,12)))</f>
        <v>2</v>
      </c>
      <c r="I17" s="65" t="n">
        <f aca="false">$I$6*H17</f>
        <v>2.4</v>
      </c>
      <c r="J17" s="65" t="str">
        <f aca="false">VLOOKUP($B17,Unidades!$D$5:$N$28,10,FALSE())</f>
        <v>SIM</v>
      </c>
      <c r="K17" s="65" t="str">
        <f aca="false">VLOOKUP($B17,Unidades!$D$5:$N$28,11,FALSE())</f>
        <v>SIM</v>
      </c>
      <c r="L17" s="65" t="n">
        <f aca="false">$L$6*H17+(IF(J17="SIM",$J$6,0))</f>
        <v>4.2</v>
      </c>
      <c r="M17" s="65" t="n">
        <f aca="false">$M$6*H17+(IF(J17="SIM",$J$6,0))+(IF(K17="SIM",$K$6,0))</f>
        <v>8.2</v>
      </c>
      <c r="N17" s="65" t="n">
        <f aca="false">H17*12+I17*4+L17*2+M17</f>
        <v>50.2</v>
      </c>
      <c r="O17" s="66" t="n">
        <f aca="false">IF(K17="não", N17*(C$24+D$24),N17*(C$24+D$24)+(M17*+E$24))</f>
        <v>3385.03808</v>
      </c>
      <c r="P17" s="67"/>
      <c r="Q17" s="22" t="str">
        <f aca="false">B17</f>
        <v>APS VIDEIRA</v>
      </c>
      <c r="R17" s="24" t="n">
        <f aca="false">H17*($C$24+$D$24)</f>
        <v>120.0008</v>
      </c>
      <c r="S17" s="24" t="n">
        <f aca="false">I17*($C$24+$D$24)</f>
        <v>144.00096</v>
      </c>
      <c r="T17" s="24" t="n">
        <f aca="false">L17*($C$24+$D$24)</f>
        <v>252.00168</v>
      </c>
      <c r="U17" s="24" t="n">
        <f aca="false">IF(K17="não",M17*($C$24+$D$24),M17*(C$24+D$24+E$24))</f>
        <v>865.02128</v>
      </c>
      <c r="V17" s="24" t="n">
        <f aca="false">VLOOKUP(Q17,'Desl. Base Chapecó'!$C$5:$S$18,13,FALSE())*($C$24+$D$24+$E$24*(VLOOKUP(Q17,'Desl. Base Chapecó'!$C$5:$S$18,17,FALSE())/12))</f>
        <v>262.075650277778</v>
      </c>
      <c r="W17" s="24" t="n">
        <f aca="false">VLOOKUP(Q17,'Desl. Base Chapecó'!$C$5:$S$19,15,FALSE())*(2+(VLOOKUP(Q17,'Desl. Base Chapecó'!$C$5:$S$19,17,FALSE())/12))</f>
        <v>290.416666666667</v>
      </c>
      <c r="X17" s="24" t="n">
        <f aca="false">VLOOKUP(Q17,'Desl. Base Chapecó'!$C$5:$Q$18,14,FALSE())</f>
        <v>0</v>
      </c>
      <c r="Y17" s="24" t="n">
        <f aca="false">VLOOKUP(Q17,'Desl. Base Chapecó'!$C$5:$Q$18,13,FALSE())*'Desl. Base Chapecó'!$E$23+'Desl. Base Chapecó'!$E$24*N17/12</f>
        <v>251.05925</v>
      </c>
      <c r="Z17" s="24" t="n">
        <f aca="false">(H17/$AC$5)*'Equipe Técnica'!$C$13</f>
        <v>435.237146195907</v>
      </c>
      <c r="AA17" s="24" t="n">
        <f aca="false">(I17/$AC$5)*'Equipe Técnica'!$C$13</f>
        <v>522.284575435088</v>
      </c>
      <c r="AB17" s="24" t="n">
        <f aca="false">(L17/$AC$5)*'Equipe Técnica'!$C$13</f>
        <v>913.998007011405</v>
      </c>
      <c r="AC17" s="24" t="n">
        <f aca="false">(M17/$AC$5)*'Equipe Técnica'!$C$13</f>
        <v>1784.47229940322</v>
      </c>
      <c r="AD17" s="24" t="n">
        <f aca="false">R17+(($V17+$W17+$X17+$Y17)*12/19)+$Z17</f>
        <v>1062.74419900292</v>
      </c>
      <c r="AE17" s="24" t="n">
        <f aca="false">S17+(($V17+$W17+$X17+$Y17)*12/19)+$AA17</f>
        <v>1173.79178824211</v>
      </c>
      <c r="AF17" s="24" t="n">
        <f aca="false">T17+(($V17+$W17+$X17+$Y17)*12/19)+$AB17</f>
        <v>1673.50593981842</v>
      </c>
      <c r="AG17" s="24" t="n">
        <f aca="false">U17+(($V17+$W17+$X17+$Y17)*12/19)+$AC17</f>
        <v>3156.99983221024</v>
      </c>
      <c r="AI17" s="22" t="str">
        <f aca="false">B17</f>
        <v>APS VIDEIRA</v>
      </c>
      <c r="AJ17" s="68" t="n">
        <f aca="false">VLOOKUP(AI17,Unidades!D$5:H$28,5,)</f>
        <v>0.2223</v>
      </c>
      <c r="AK17" s="48" t="n">
        <f aca="false">AD17*(1+$AJ17)</f>
        <v>1298.99223444127</v>
      </c>
      <c r="AL17" s="48" t="n">
        <f aca="false">AE17*(1+$AJ17)</f>
        <v>1434.72570276833</v>
      </c>
      <c r="AM17" s="48" t="n">
        <f aca="false">AF17*(1+$AJ17)</f>
        <v>2045.52631024006</v>
      </c>
      <c r="AN17" s="48" t="n">
        <f aca="false">AG17*(1+$AJ17)</f>
        <v>3858.80089491057</v>
      </c>
      <c r="AO17" s="48" t="n">
        <f aca="false">((AK17*12)+(AL17*4)+(AM17*2)+AN17)/12</f>
        <v>2439.72192831327</v>
      </c>
      <c r="AP17" s="48" t="n">
        <f aca="false">AO17*$AP$6</f>
        <v>6431.99417464408</v>
      </c>
      <c r="AQ17" s="48" t="n">
        <f aca="false">AO17+AP17</f>
        <v>8871.71610295736</v>
      </c>
      <c r="AR17" s="69"/>
      <c r="AS17" s="69"/>
      <c r="AT17" s="69"/>
      <c r="AU17" s="69"/>
      <c r="AV17" s="69"/>
      <c r="AW17" s="69"/>
    </row>
    <row r="18" s="2" customFormat="true" ht="15" hidden="false" customHeight="true" outlineLevel="0" collapsed="false">
      <c r="B18" s="22" t="s">
        <v>97</v>
      </c>
      <c r="C18" s="64" t="n">
        <f aca="false">VLOOKUP($B18,Unidades!$D$5:$N$28,6,FALSE())</f>
        <v>1476</v>
      </c>
      <c r="D18" s="64" t="n">
        <f aca="false">VLOOKUP($B18,Unidades!$D$5:$N$28,7,FALSE())</f>
        <v>714</v>
      </c>
      <c r="E18" s="64" t="n">
        <f aca="false">VLOOKUP($B18,Unidades!$D$5:$N$28,8,FALSE())</f>
        <v>65</v>
      </c>
      <c r="F18" s="64" t="n">
        <f aca="false">VLOOKUP($B18,Unidades!$D$5:$N$28,9,FALSE())</f>
        <v>697</v>
      </c>
      <c r="G18" s="64" t="n">
        <f aca="false">D18+E18*$E$6+F18*$F$6</f>
        <v>806.45</v>
      </c>
      <c r="H18" s="65" t="n">
        <f aca="false">IF(G18&lt;750,1.5,IF(G18&lt;2000,2,IF(G18&lt;4000,3,12)))</f>
        <v>2</v>
      </c>
      <c r="I18" s="65" t="n">
        <f aca="false">$I$6*H18</f>
        <v>2.4</v>
      </c>
      <c r="J18" s="65" t="str">
        <f aca="false">VLOOKUP($B18,Unidades!$D$5:$N$28,10,FALSE())</f>
        <v>SIM</v>
      </c>
      <c r="K18" s="65" t="str">
        <f aca="false">VLOOKUP($B18,Unidades!$D$5:$N$28,11,FALSE())</f>
        <v>SIM</v>
      </c>
      <c r="L18" s="65" t="n">
        <f aca="false">$L$6*H18+(IF(J18="SIM",$J$6,0))</f>
        <v>4.2</v>
      </c>
      <c r="M18" s="65" t="n">
        <f aca="false">$M$6*H18+(IF(J18="SIM",$J$6,0))+(IF(K18="SIM",$K$6,0))</f>
        <v>8.2</v>
      </c>
      <c r="N18" s="65" t="n">
        <f aca="false">H18*12+I18*4+L18*2+M18</f>
        <v>50.2</v>
      </c>
      <c r="O18" s="66" t="n">
        <f aca="false">IF(K18="não", N18*(C$24+D$24),N18*(C$24+D$24)+(M18*+E$24))</f>
        <v>3385.03808</v>
      </c>
      <c r="P18" s="67"/>
      <c r="Q18" s="22" t="str">
        <f aca="false">B18</f>
        <v>APS XANXERÊ</v>
      </c>
      <c r="R18" s="24" t="n">
        <f aca="false">H18*($C$24+$D$24)</f>
        <v>120.0008</v>
      </c>
      <c r="S18" s="24" t="n">
        <f aca="false">I18*($C$24+$D$24)</f>
        <v>144.00096</v>
      </c>
      <c r="T18" s="24" t="n">
        <f aca="false">L18*($C$24+$D$24)</f>
        <v>252.00168</v>
      </c>
      <c r="U18" s="24" t="n">
        <f aca="false">IF(K18="não",M18*($C$24+$D$24),M18*(C$24+D$24+E$24))</f>
        <v>865.02128</v>
      </c>
      <c r="V18" s="24" t="n">
        <f aca="false">VLOOKUP(Q18,'Desl. Base Chapecó'!$C$5:$S$18,13,FALSE())*($C$24+$D$24+$E$24*(VLOOKUP(Q18,'Desl. Base Chapecó'!$C$5:$S$18,17,FALSE())/12))</f>
        <v>58.4752972222222</v>
      </c>
      <c r="W18" s="24" t="n">
        <f aca="false">VLOOKUP(Q18,'Desl. Base Chapecó'!$C$5:$S$19,15,FALSE())*(2+(VLOOKUP(Q18,'Desl. Base Chapecó'!$C$5:$S$19,17,FALSE())/12))</f>
        <v>0</v>
      </c>
      <c r="X18" s="24" t="n">
        <f aca="false">VLOOKUP(Q18,'Desl. Base Chapecó'!$C$5:$Q$18,14,FALSE())</f>
        <v>0</v>
      </c>
      <c r="Y18" s="24" t="n">
        <f aca="false">VLOOKUP(Q18,'Desl. Base Chapecó'!$C$5:$Q$18,13,FALSE())*'Desl. Base Chapecó'!$E$23+'Desl. Base Chapecó'!$E$24*N18/12</f>
        <v>77.3368333333333</v>
      </c>
      <c r="Z18" s="24" t="n">
        <f aca="false">(H18/$AC$5)*'Equipe Técnica'!$C$13</f>
        <v>435.237146195907</v>
      </c>
      <c r="AA18" s="24" t="n">
        <f aca="false">(I18/$AC$5)*'Equipe Técnica'!$C$13</f>
        <v>522.284575435088</v>
      </c>
      <c r="AB18" s="24" t="n">
        <f aca="false">(L18/$AC$5)*'Equipe Técnica'!$C$13</f>
        <v>913.998007011405</v>
      </c>
      <c r="AC18" s="24" t="n">
        <f aca="false">(M18/$AC$5)*'Equipe Técnica'!$C$13</f>
        <v>1784.47229940322</v>
      </c>
      <c r="AD18" s="24" t="n">
        <f aca="false">R18+(($V18+$W18+$X18+$Y18)*12/19)+$Z18</f>
        <v>641.014028652047</v>
      </c>
      <c r="AE18" s="24" t="n">
        <f aca="false">S18+(($V18+$W18+$X18+$Y18)*12/19)+$AA18</f>
        <v>752.061617891229</v>
      </c>
      <c r="AF18" s="24" t="n">
        <f aca="false">T18+(($V18+$W18+$X18+$Y18)*12/19)+$AB18</f>
        <v>1251.77576946755</v>
      </c>
      <c r="AG18" s="24" t="n">
        <f aca="false">U18+(($V18+$W18+$X18+$Y18)*12/19)+$AC18</f>
        <v>2735.26966185936</v>
      </c>
      <c r="AI18" s="22" t="str">
        <f aca="false">B18</f>
        <v>APS XANXERÊ</v>
      </c>
      <c r="AJ18" s="68" t="n">
        <f aca="false">VLOOKUP(AI18,Unidades!D$5:H$28,5,)</f>
        <v>0.2354</v>
      </c>
      <c r="AK18" s="48" t="n">
        <f aca="false">AD18*(1+$AJ18)</f>
        <v>791.908730996739</v>
      </c>
      <c r="AL18" s="48" t="n">
        <f aca="false">AE18*(1+$AJ18)</f>
        <v>929.096922742824</v>
      </c>
      <c r="AM18" s="48" t="n">
        <f aca="false">AF18*(1+$AJ18)</f>
        <v>1546.44378560021</v>
      </c>
      <c r="AN18" s="48" t="n">
        <f aca="false">AG18*(1+$AJ18)</f>
        <v>3379.15214026105</v>
      </c>
      <c r="AO18" s="48" t="n">
        <f aca="false">((AK18*12)+(AL18*4)+(AM18*2)+AN18)/12</f>
        <v>1640.94434786614</v>
      </c>
      <c r="AP18" s="48" t="n">
        <f aca="false">AO18*$AP$6</f>
        <v>4326.12600801072</v>
      </c>
      <c r="AQ18" s="48" t="n">
        <f aca="false">AO18+AP18</f>
        <v>5967.07035587686</v>
      </c>
      <c r="AR18" s="69"/>
      <c r="AS18" s="69"/>
      <c r="AT18" s="69"/>
      <c r="AU18" s="69"/>
      <c r="AV18" s="69"/>
      <c r="AW18" s="69"/>
    </row>
    <row r="19" s="2" customFormat="true" ht="15" hidden="false" customHeight="true" outlineLevel="0" collapsed="false">
      <c r="B19" s="22" t="s">
        <v>98</v>
      </c>
      <c r="C19" s="64" t="n">
        <f aca="false">VLOOKUP($B19,Unidades!$D$5:$N$28,6,FALSE())</f>
        <v>334.4</v>
      </c>
      <c r="D19" s="64" t="n">
        <f aca="false">VLOOKUP($B19,Unidades!$D$5:$N$28,7,FALSE())</f>
        <v>296</v>
      </c>
      <c r="E19" s="64" t="n">
        <f aca="false">VLOOKUP($B19,Unidades!$D$5:$N$28,8,FALSE())</f>
        <v>38.4</v>
      </c>
      <c r="F19" s="64" t="n">
        <f aca="false">VLOOKUP($B19,Unidades!$D$5:$N$28,9,FALSE())</f>
        <v>0</v>
      </c>
      <c r="G19" s="64" t="n">
        <f aca="false">D19+E19*$E$6+F19*$F$6</f>
        <v>309.44</v>
      </c>
      <c r="H19" s="65" t="n">
        <f aca="false">IF(G19&lt;750,1.5,IF(G19&lt;2000,2,IF(G19&lt;4000,3,12)))</f>
        <v>1.5</v>
      </c>
      <c r="I19" s="65" t="n">
        <f aca="false">$I$6*H19</f>
        <v>1.8</v>
      </c>
      <c r="J19" s="65" t="str">
        <f aca="false">VLOOKUP($B19,Unidades!$D$5:$N$28,10,FALSE())</f>
        <v>NÃO</v>
      </c>
      <c r="K19" s="65" t="str">
        <f aca="false">VLOOKUP($B19,Unidades!$D$5:$N$28,11,FALSE())</f>
        <v>NÃO</v>
      </c>
      <c r="L19" s="65" t="n">
        <f aca="false">$L$6*H19+(IF(J19="SIM",$J$6,0))</f>
        <v>1.65</v>
      </c>
      <c r="M19" s="65" t="n">
        <f aca="false">$M$6*H19+(IF(J19="SIM",$J$6,0))+(IF(K19="SIM",$K$6,0))</f>
        <v>1.65</v>
      </c>
      <c r="N19" s="65" t="n">
        <f aca="false">H19*12+I19*4+L19*2+M19</f>
        <v>30.15</v>
      </c>
      <c r="O19" s="66" t="n">
        <f aca="false">IF(K19="não", N19*(C$24+D$24),N19*(C$24+D$24)+(M19*+E$24))</f>
        <v>1809.01206</v>
      </c>
      <c r="P19" s="67"/>
      <c r="Q19" s="22" t="str">
        <f aca="false">B19</f>
        <v>APS XAXIM</v>
      </c>
      <c r="R19" s="24" t="n">
        <f aca="false">H19*($C$24+$D$24)</f>
        <v>90.0006</v>
      </c>
      <c r="S19" s="24" t="n">
        <f aca="false">I19*($C$24+$D$24)</f>
        <v>108.00072</v>
      </c>
      <c r="T19" s="24" t="n">
        <f aca="false">L19*($C$24+$D$24)</f>
        <v>99.00066</v>
      </c>
      <c r="U19" s="24" t="n">
        <f aca="false">IF(K19="não",M19*($C$24+$D$24),M19*(C$24+D$24+E$24))</f>
        <v>99.00066</v>
      </c>
      <c r="V19" s="24" t="n">
        <f aca="false">VLOOKUP(Q19,'Desl. Base Chapecó'!$C$5:$S$18,13,FALSE())*($C$24+$D$24+$E$24*(VLOOKUP(Q19,'Desl. Base Chapecó'!$C$5:$S$18,17,FALSE())/12))</f>
        <v>58.4752972222222</v>
      </c>
      <c r="W19" s="24" t="n">
        <f aca="false">VLOOKUP(Q19,'Desl. Base Chapecó'!$C$5:$S$19,15,FALSE())*(2+(VLOOKUP(Q19,'Desl. Base Chapecó'!$C$5:$S$19,17,FALSE())/12))</f>
        <v>0</v>
      </c>
      <c r="X19" s="24" t="n">
        <f aca="false">VLOOKUP(Q19,'Desl. Base Chapecó'!$C$5:$Q$18,14,FALSE())</f>
        <v>0</v>
      </c>
      <c r="Y19" s="24" t="n">
        <f aca="false">VLOOKUP(Q19,'Desl. Base Chapecó'!$C$5:$Q$18,13,FALSE())*'Desl. Base Chapecó'!$E$23+'Desl. Base Chapecó'!$E$24*N19/12</f>
        <v>66.3761666666667</v>
      </c>
      <c r="Z19" s="24" t="n">
        <f aca="false">(H19/$AC$5)*'Equipe Técnica'!$C$13</f>
        <v>326.42785964693</v>
      </c>
      <c r="AA19" s="24" t="n">
        <f aca="false">(I19/$AC$5)*'Equipe Técnica'!$C$13</f>
        <v>391.713431576316</v>
      </c>
      <c r="AB19" s="24" t="n">
        <f aca="false">(L19/$AC$5)*'Equipe Técnica'!$C$13</f>
        <v>359.070645611623</v>
      </c>
      <c r="AC19" s="24" t="n">
        <f aca="false">(M19/$AC$5)*'Equipe Técnica'!$C$13</f>
        <v>359.070645611623</v>
      </c>
      <c r="AD19" s="24" t="n">
        <f aca="false">R19+(($V19+$W19+$X19+$Y19)*12/19)+$Z19</f>
        <v>495.282015787281</v>
      </c>
      <c r="AE19" s="24" t="n">
        <f aca="false">S19+(($V19+$W19+$X19+$Y19)*12/19)+$AA19</f>
        <v>578.567707716667</v>
      </c>
      <c r="AF19" s="24" t="n">
        <f aca="false">T19+(($V19+$W19+$X19+$Y19)*12/19)+$AB19</f>
        <v>536.924861751974</v>
      </c>
      <c r="AG19" s="24" t="n">
        <f aca="false">U19+(($V19+$W19+$X19+$Y19)*12/19)+$AC19</f>
        <v>536.924861751974</v>
      </c>
      <c r="AI19" s="22" t="str">
        <f aca="false">B19</f>
        <v>APS XAXIM</v>
      </c>
      <c r="AJ19" s="68" t="n">
        <f aca="false">VLOOKUP(AI19,Unidades!D$5:H$28,5,)</f>
        <v>0.2354</v>
      </c>
      <c r="AK19" s="48" t="n">
        <f aca="false">AD19*(1+$AJ19)</f>
        <v>611.871402303607</v>
      </c>
      <c r="AL19" s="48" t="n">
        <f aca="false">AE19*(1+$AJ19)</f>
        <v>714.76254611317</v>
      </c>
      <c r="AM19" s="48" t="n">
        <f aca="false">AF19*(1+$AJ19)</f>
        <v>663.316974208389</v>
      </c>
      <c r="AN19" s="48" t="n">
        <f aca="false">AG19*(1+$AJ19)</f>
        <v>663.316974208389</v>
      </c>
      <c r="AO19" s="48" t="n">
        <f aca="false">((AK19*12)+(AL19*4)+(AM19*2)+AN19)/12</f>
        <v>1015.95482789343</v>
      </c>
      <c r="AP19" s="48" t="n">
        <f aca="false">AO19*$AP$6</f>
        <v>2678.42636444631</v>
      </c>
      <c r="AQ19" s="48" t="n">
        <f aca="false">AO19+AP19</f>
        <v>3694.38119233974</v>
      </c>
      <c r="AR19" s="69"/>
      <c r="AS19" s="69"/>
      <c r="AT19" s="69"/>
      <c r="AU19" s="69"/>
      <c r="AV19" s="69"/>
      <c r="AW19" s="69"/>
    </row>
    <row r="20" s="2" customFormat="true" ht="15" hidden="false" customHeight="true" outlineLevel="0" collapsed="false">
      <c r="B20" s="22" t="s">
        <v>99</v>
      </c>
      <c r="C20" s="64" t="n">
        <f aca="false">VLOOKUP($B20,Unidades!$D$5:$N$28,6,FALSE())</f>
        <v>1187</v>
      </c>
      <c r="D20" s="64" t="n">
        <f aca="false">VLOOKUP($B20,Unidades!$D$5:$N$28,7,FALSE())</f>
        <v>1027</v>
      </c>
      <c r="E20" s="64" t="n">
        <f aca="false">VLOOKUP($B20,Unidades!$D$5:$N$28,8,FALSE())</f>
        <v>155</v>
      </c>
      <c r="F20" s="64" t="n">
        <f aca="false">VLOOKUP($B20,Unidades!$D$5:$N$28,9,FALSE())</f>
        <v>5</v>
      </c>
      <c r="G20" s="64" t="n">
        <f aca="false">D20+E20*$E$6+F20*$F$6</f>
        <v>1081.75</v>
      </c>
      <c r="H20" s="65" t="n">
        <f aca="false">IF(G20&lt;750,1.5,IF(G20&lt;2000,2,IF(G20&lt;4000,3,12)))</f>
        <v>2</v>
      </c>
      <c r="I20" s="65" t="n">
        <f aca="false">$I$6*H20</f>
        <v>2.4</v>
      </c>
      <c r="J20" s="65" t="str">
        <f aca="false">VLOOKUP($B20,Unidades!$D$5:$N$28,10,FALSE())</f>
        <v>SIM</v>
      </c>
      <c r="K20" s="65" t="str">
        <f aca="false">VLOOKUP($B20,Unidades!$D$5:$N$28,11,FALSE())</f>
        <v>SIM</v>
      </c>
      <c r="L20" s="65" t="n">
        <f aca="false">$L$6*H20+(IF(J20="SIM",$J$6,0))</f>
        <v>4.2</v>
      </c>
      <c r="M20" s="65" t="n">
        <f aca="false">$M$6*H20+(IF(J20="SIM",$J$6,0))+(IF(K20="SIM",$K$6,0))</f>
        <v>8.2</v>
      </c>
      <c r="N20" s="65" t="n">
        <f aca="false">H20*12+I20*4+L20*2+M20</f>
        <v>50.2</v>
      </c>
      <c r="O20" s="66" t="n">
        <f aca="false">IF(K20="não", N20*(C$24+D$24),N20*(C$24+D$24)+(M20*+E$24))</f>
        <v>3385.03808</v>
      </c>
      <c r="P20" s="67"/>
      <c r="Q20" s="22" t="str">
        <f aca="false">B20</f>
        <v>GEX CHAPECÓ</v>
      </c>
      <c r="R20" s="24" t="n">
        <f aca="false">H20*($C$24+$D$24)</f>
        <v>120.0008</v>
      </c>
      <c r="S20" s="24" t="n">
        <f aca="false">I20*($C$24+$D$24)</f>
        <v>144.00096</v>
      </c>
      <c r="T20" s="24" t="n">
        <f aca="false">L20*($C$24+$D$24)</f>
        <v>252.00168</v>
      </c>
      <c r="U20" s="24" t="n">
        <f aca="false">IF(K20="não",M20*($C$24+$D$24),M20*(C$24+D$24+E$24))</f>
        <v>865.02128</v>
      </c>
      <c r="V20" s="24" t="n">
        <f aca="false">VLOOKUP(Q20,'Desl. Base Chapecó'!$C$5:$S$18,13,FALSE())*($C$24+$D$24+$E$24*(VLOOKUP(Q20,'Desl. Base Chapecó'!$C$5:$S$18,17,FALSE())/12))</f>
        <v>2.12637444444444</v>
      </c>
      <c r="W20" s="24" t="n">
        <f aca="false">VLOOKUP(Q20,'Desl. Base Chapecó'!$C$5:$S$19,15,FALSE())*(2+(VLOOKUP(Q20,'Desl. Base Chapecó'!$C$5:$S$19,17,FALSE())/12))</f>
        <v>0</v>
      </c>
      <c r="X20" s="24" t="n">
        <f aca="false">VLOOKUP(Q20,'Desl. Base Chapecó'!$C$5:$Q$18,14,FALSE())</f>
        <v>0</v>
      </c>
      <c r="Y20" s="24" t="n">
        <f aca="false">VLOOKUP(Q20,'Desl. Base Chapecó'!$C$5:$Q$18,13,FALSE())*'Desl. Base Chapecó'!$E$23+'Desl. Base Chapecó'!$E$24*N20/12</f>
        <v>29.257</v>
      </c>
      <c r="Z20" s="24" t="n">
        <f aca="false">(H20/$AC$5)*'Equipe Técnica'!$C$13</f>
        <v>435.237146195907</v>
      </c>
      <c r="AA20" s="24" t="n">
        <f aca="false">(I20/$AC$5)*'Equipe Técnica'!$C$13</f>
        <v>522.284575435088</v>
      </c>
      <c r="AB20" s="24" t="n">
        <f aca="false">(L20/$AC$5)*'Equipe Técnica'!$C$13</f>
        <v>913.998007011405</v>
      </c>
      <c r="AC20" s="24" t="n">
        <f aca="false">(M20/$AC$5)*'Equipe Técnica'!$C$13</f>
        <v>1784.47229940322</v>
      </c>
      <c r="AD20" s="24" t="n">
        <f aca="false">R20+(($V20+$W20+$X20+$Y20)*12/19)+$Z20</f>
        <v>575.059024792398</v>
      </c>
      <c r="AE20" s="24" t="n">
        <f aca="false">S20+(($V20+$W20+$X20+$Y20)*12/19)+$AA20</f>
        <v>686.10661403158</v>
      </c>
      <c r="AF20" s="24" t="n">
        <f aca="false">T20+(($V20+$W20+$X20+$Y20)*12/19)+$AB20</f>
        <v>1185.8207656079</v>
      </c>
      <c r="AG20" s="24" t="n">
        <f aca="false">U20+(($V20+$W20+$X20+$Y20)*12/19)+$AC20</f>
        <v>2669.31465799971</v>
      </c>
      <c r="AI20" s="22" t="str">
        <f aca="false">B20</f>
        <v>GEX CHAPECÓ</v>
      </c>
      <c r="AJ20" s="68" t="n">
        <f aca="false">VLOOKUP(AI20,Unidades!D$5:H$28,5,)</f>
        <v>0.2223</v>
      </c>
      <c r="AK20" s="48" t="n">
        <f aca="false">AD20*(1+$AJ20)</f>
        <v>702.894646003748</v>
      </c>
      <c r="AL20" s="48" t="n">
        <f aca="false">AE20*(1+$AJ20)</f>
        <v>838.6281143308</v>
      </c>
      <c r="AM20" s="48" t="n">
        <f aca="false">AF20*(1+$AJ20)</f>
        <v>1449.42872180253</v>
      </c>
      <c r="AN20" s="48" t="n">
        <f aca="false">AG20*(1+$AJ20)</f>
        <v>3262.70330647304</v>
      </c>
      <c r="AO20" s="48" t="n">
        <f aca="false">((AK20*12)+(AL20*4)+(AM20*2)+AN20)/12</f>
        <v>1495.90074662052</v>
      </c>
      <c r="AP20" s="48" t="n">
        <f aca="false">AO20*$AP$6</f>
        <v>3943.73833199956</v>
      </c>
      <c r="AQ20" s="48" t="n">
        <f aca="false">AO20+AP20</f>
        <v>5439.63907862009</v>
      </c>
      <c r="AR20" s="69"/>
      <c r="AS20" s="69"/>
      <c r="AT20" s="69"/>
      <c r="AU20" s="69"/>
      <c r="AV20" s="69"/>
      <c r="AW20" s="69"/>
    </row>
    <row r="21" s="55" customFormat="true" ht="19.5" hidden="false" customHeight="true" outlineLevel="0" collapsed="false">
      <c r="B21" s="32" t="s">
        <v>100</v>
      </c>
      <c r="C21" s="73" t="n">
        <f aca="false">SUM(C7:C20)</f>
        <v>19116.4</v>
      </c>
      <c r="D21" s="73" t="n">
        <f aca="false">SUM(D7:D20)</f>
        <v>8861</v>
      </c>
      <c r="E21" s="73" t="n">
        <f aca="false">SUM(E7:E20)</f>
        <v>3316.4</v>
      </c>
      <c r="F21" s="73" t="n">
        <f aca="false">SUM(F7:F20)</f>
        <v>6939</v>
      </c>
      <c r="G21" s="73" t="n">
        <f aca="false">SUM(G7:G20)</f>
        <v>10715.64</v>
      </c>
      <c r="H21" s="74" t="n">
        <f aca="false">SUM(H7:H20)</f>
        <v>25.5</v>
      </c>
      <c r="I21" s="74" t="n">
        <f aca="false">SUM(I7:I20)</f>
        <v>30.6</v>
      </c>
      <c r="J21" s="74" t="n">
        <f aca="false">COUNTIF(J7:J20,"SIM")</f>
        <v>8</v>
      </c>
      <c r="K21" s="74" t="n">
        <f aca="false">COUNTIF(K7:K20,"SIM")</f>
        <v>13</v>
      </c>
      <c r="L21" s="74" t="n">
        <f aca="false">SUM(L7:L20)</f>
        <v>44.05</v>
      </c>
      <c r="M21" s="74" t="n">
        <f aca="false">SUM(M7:M20)</f>
        <v>96.05</v>
      </c>
      <c r="N21" s="74" t="n">
        <f aca="false">SUM(N7:N20)</f>
        <v>612.55</v>
      </c>
      <c r="O21" s="75" t="n">
        <f aca="false">SUM(O7:O20)</f>
        <v>41047.50102</v>
      </c>
      <c r="P21" s="76"/>
      <c r="Q21" s="74" t="s">
        <v>100</v>
      </c>
      <c r="R21" s="77" t="n">
        <f aca="false">SUM(R7:R20)</f>
        <v>1530.0102</v>
      </c>
      <c r="S21" s="77" t="n">
        <f aca="false">SUM(S7:S20)</f>
        <v>1836.01224</v>
      </c>
      <c r="T21" s="77" t="n">
        <f aca="false">SUM(T7:T20)</f>
        <v>2643.01762</v>
      </c>
      <c r="U21" s="77" t="n">
        <f aca="false">SUM(U7:U20)</f>
        <v>10057.29442</v>
      </c>
      <c r="V21" s="77" t="n">
        <f aca="false">SUM(V7:V20)</f>
        <v>2357.08607166667</v>
      </c>
      <c r="W21" s="77" t="n">
        <f aca="false">SUM(W7:W20)</f>
        <v>2323.33333333333</v>
      </c>
      <c r="X21" s="77" t="n">
        <f aca="false">SUM(X7:X20)</f>
        <v>0</v>
      </c>
      <c r="Y21" s="77" t="n">
        <f aca="false">SUM(Y7:Y20)</f>
        <v>2346.04916666667</v>
      </c>
      <c r="Z21" s="77" t="n">
        <f aca="false">SUM(Z7:Z20)</f>
        <v>5549.27361399782</v>
      </c>
      <c r="AA21" s="77" t="n">
        <f aca="false">SUM(AA7:AA20)</f>
        <v>6659.12833679738</v>
      </c>
      <c r="AB21" s="77" t="n">
        <f aca="false">SUM(AB7:AB20)</f>
        <v>9586.09814496485</v>
      </c>
      <c r="AC21" s="77" t="n">
        <f aca="false">SUM(AC7:AC20)</f>
        <v>20902.2639460584</v>
      </c>
      <c r="AD21" s="77" t="n">
        <f aca="false">SUM(AD7:AD20)</f>
        <v>11517.0534382083</v>
      </c>
      <c r="AE21" s="77" t="n">
        <f aca="false">SUM(AE7:AE20)</f>
        <v>12932.9102010079</v>
      </c>
      <c r="AF21" s="77" t="n">
        <f aca="false">SUM(AF7:AF20)</f>
        <v>16666.8853891754</v>
      </c>
      <c r="AG21" s="77" t="n">
        <f aca="false">SUM(AG7:AG20)</f>
        <v>35397.327990269</v>
      </c>
      <c r="AI21" s="74" t="s">
        <v>100</v>
      </c>
      <c r="AJ21" s="74"/>
      <c r="AK21" s="78" t="n">
        <f aca="false">SUM(AK7:AK20)</f>
        <v>14165.860341268</v>
      </c>
      <c r="AL21" s="78" t="n">
        <f aca="false">SUM(AL7:AL20)</f>
        <v>15907.8361117658</v>
      </c>
      <c r="AM21" s="78" t="n">
        <f aca="false">SUM(AM7:AM20)</f>
        <v>20502.9992354318</v>
      </c>
      <c r="AN21" s="78" t="n">
        <f aca="false">SUM(AN7:AN20)</f>
        <v>43540.7280640737</v>
      </c>
      <c r="AO21" s="78" t="n">
        <f aca="false">SUM(AO7:AO20)</f>
        <v>26514.0329231014</v>
      </c>
      <c r="AP21" s="78" t="n">
        <f aca="false">SUM(AP7:AP20)</f>
        <v>69900.6322518128</v>
      </c>
      <c r="AQ21" s="78" t="n">
        <f aca="false">SUM(AQ7:AQ20)</f>
        <v>96414.6651749142</v>
      </c>
    </row>
    <row r="22" customFormat="false" ht="18" hidden="false" customHeight="true" outlineLevel="0" collapsed="false">
      <c r="H22" s="79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56"/>
      <c r="AE22" s="56"/>
      <c r="AF22" s="56"/>
      <c r="AG22" s="56"/>
    </row>
    <row r="23" customFormat="false" ht="39.75" hidden="false" customHeight="true" outlineLevel="0" collapsed="false">
      <c r="B23" s="47" t="s">
        <v>30</v>
      </c>
      <c r="C23" s="81" t="s">
        <v>101</v>
      </c>
      <c r="D23" s="81" t="s">
        <v>102</v>
      </c>
      <c r="E23" s="81" t="s">
        <v>103</v>
      </c>
      <c r="R23" s="82"/>
      <c r="Z23" s="82"/>
      <c r="AA23" s="82"/>
      <c r="AB23" s="82"/>
      <c r="AC23" s="82"/>
    </row>
    <row r="24" customFormat="false" ht="18" hidden="false" customHeight="true" outlineLevel="0" collapsed="false">
      <c r="B24" s="47"/>
      <c r="C24" s="24" t="n">
        <f aca="false">'Comp. Oficial de Manutenção SC'!D11</f>
        <v>34.2904</v>
      </c>
      <c r="D24" s="24" t="n">
        <v>25.71</v>
      </c>
      <c r="E24" s="24" t="n">
        <v>45.49</v>
      </c>
    </row>
    <row r="25" customFormat="false" ht="28.5" hidden="false" customHeight="true" outlineLevel="0" collapsed="false">
      <c r="B25" s="51" t="s">
        <v>37</v>
      </c>
    </row>
    <row r="26" customFormat="false" ht="23.25" hidden="false" customHeight="true" outlineLevel="0" collapsed="false"/>
  </sheetData>
  <mergeCells count="43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21:AJ21"/>
    <mergeCell ref="B23:B24"/>
  </mergeCells>
  <printOptions headings="false" gridLines="false" gridLinesSet="true" horizontalCentered="true" verticalCentered="true"/>
  <pageMargins left="0.0784722222222222" right="0.038194444444444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S38"/>
  <sheetViews>
    <sheetView showFormulas="false" showGridLines="false" showRowColHeaders="true" showZeros="true" rightToLeft="false" tabSelected="false" showOutlineSymbols="true" defaultGridColor="true" view="normal" topLeftCell="A11" colorId="64" zoomScale="100" zoomScaleNormal="100" zoomScalePageLayoutView="100" workbookViewId="0">
      <selection pane="topLeft" activeCell="R25" activeCellId="0" sqref="R25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3" width="12.62"/>
    <col collapsed="false" customWidth="true" hidden="false" outlineLevel="0" max="3" min="3" style="83" width="32.62"/>
    <col collapsed="false" customWidth="true" hidden="false" outlineLevel="0" max="13" min="4" style="83" width="9.62"/>
    <col collapsed="false" customWidth="true" hidden="false" outlineLevel="0" max="15" min="14" style="84" width="9.62"/>
    <col collapsed="false" customWidth="true" hidden="false" outlineLevel="0" max="16" min="16" style="83" width="9.62"/>
    <col collapsed="false" customWidth="true" hidden="false" outlineLevel="0" max="17" min="17" style="83" width="10.5"/>
    <col collapsed="false" customWidth="true" hidden="false" outlineLevel="0" max="18" min="18" style="83" width="11.25"/>
    <col collapsed="false" customWidth="true" hidden="false" outlineLevel="0" max="19" min="19" style="83" width="16.26"/>
    <col collapsed="false" customWidth="true" hidden="false" outlineLevel="0" max="260" min="20" style="83" width="8.62"/>
    <col collapsed="false" customWidth="true" hidden="false" outlineLevel="0" max="1026" min="261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"DESLOCAMENTO BASE "&amp;Resumo!B5</f>
        <v>DESLOCAMENTO BASE CHAPECÓ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customFormat="false" ht="15" hidden="false" customHeight="true" outlineLevel="0" collapsed="false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</row>
    <row r="4" customFormat="false" ht="37.5" hidden="false" customHeight="true" outlineLevel="0" collapsed="false">
      <c r="B4" s="21" t="s">
        <v>104</v>
      </c>
      <c r="C4" s="21" t="str">
        <f aca="false">"Rota (saída e retorno "&amp;Resumo!B5&amp;")"</f>
        <v>Rota (saída e retorno CHAPECÓ)</v>
      </c>
      <c r="D4" s="21" t="s">
        <v>105</v>
      </c>
      <c r="E4" s="21" t="s">
        <v>106</v>
      </c>
      <c r="F4" s="21" t="s">
        <v>107</v>
      </c>
      <c r="G4" s="21" t="s">
        <v>108</v>
      </c>
      <c r="H4" s="21" t="s">
        <v>109</v>
      </c>
      <c r="I4" s="21" t="s">
        <v>110</v>
      </c>
      <c r="J4" s="21" t="s">
        <v>111</v>
      </c>
      <c r="K4" s="21" t="s">
        <v>112</v>
      </c>
      <c r="L4" s="21" t="s">
        <v>113</v>
      </c>
      <c r="M4" s="86" t="s">
        <v>114</v>
      </c>
      <c r="N4" s="21" t="s">
        <v>115</v>
      </c>
      <c r="O4" s="86" t="s">
        <v>116</v>
      </c>
      <c r="P4" s="21" t="s">
        <v>117</v>
      </c>
      <c r="Q4" s="86" t="s">
        <v>67</v>
      </c>
      <c r="R4" s="32" t="s">
        <v>118</v>
      </c>
      <c r="S4" s="32" t="s">
        <v>119</v>
      </c>
    </row>
    <row r="5" customFormat="false" ht="16.5" hidden="false" customHeight="true" outlineLevel="0" collapsed="false">
      <c r="B5" s="50" t="n">
        <v>1</v>
      </c>
      <c r="C5" s="87" t="s">
        <v>99</v>
      </c>
      <c r="D5" s="88" t="n">
        <v>1</v>
      </c>
      <c r="E5" s="88" t="n">
        <v>0.85</v>
      </c>
      <c r="F5" s="88" t="n">
        <v>0</v>
      </c>
      <c r="G5" s="89" t="n">
        <f aca="false">SUM(D5:F5)</f>
        <v>1.85</v>
      </c>
      <c r="H5" s="90" t="n">
        <v>2</v>
      </c>
      <c r="I5" s="90" t="n">
        <v>2</v>
      </c>
      <c r="J5" s="90" t="n">
        <v>0</v>
      </c>
      <c r="K5" s="91" t="n">
        <f aca="false">SUM(H5:J5)</f>
        <v>4</v>
      </c>
      <c r="L5" s="92" t="n">
        <f aca="false">K5/60</f>
        <v>0.0666666666666667</v>
      </c>
      <c r="M5" s="93" t="n">
        <v>0</v>
      </c>
      <c r="N5" s="94" t="n">
        <v>2</v>
      </c>
      <c r="O5" s="95" t="n">
        <f aca="false">L5/N5</f>
        <v>0.0333333333333333</v>
      </c>
      <c r="P5" s="96" t="n">
        <f aca="false">M5/N5</f>
        <v>0</v>
      </c>
      <c r="Q5" s="97" t="n">
        <v>0</v>
      </c>
      <c r="R5" s="98" t="str">
        <f aca="false">INDEX('Base Chapecó'!$K$7:$K$20,MATCH(C5,'Base Chapecó'!$B$7:$B$20,0))</f>
        <v>SIM</v>
      </c>
      <c r="S5" s="99" t="n">
        <v>1</v>
      </c>
    </row>
    <row r="6" customFormat="false" ht="16.5" hidden="false" customHeight="true" outlineLevel="0" collapsed="false">
      <c r="B6" s="50"/>
      <c r="C6" s="87" t="s">
        <v>86</v>
      </c>
      <c r="D6" s="88"/>
      <c r="E6" s="88"/>
      <c r="F6" s="88"/>
      <c r="G6" s="89"/>
      <c r="H6" s="90"/>
      <c r="I6" s="90"/>
      <c r="J6" s="90"/>
      <c r="K6" s="91"/>
      <c r="L6" s="92"/>
      <c r="M6" s="93"/>
      <c r="N6" s="94"/>
      <c r="O6" s="100" t="n">
        <f aca="false">O5</f>
        <v>0.0333333333333333</v>
      </c>
      <c r="P6" s="101" t="n">
        <f aca="false">P5</f>
        <v>0</v>
      </c>
      <c r="Q6" s="102" t="n">
        <v>0</v>
      </c>
      <c r="R6" s="98" t="str">
        <f aca="false">INDEX('Base Chapecó'!$K$7:$K$20,MATCH(C6,'Base Chapecó'!$B$7:$B$20,0))</f>
        <v>SIM</v>
      </c>
      <c r="S6" s="99" t="n">
        <v>1</v>
      </c>
    </row>
    <row r="7" customFormat="false" ht="16.5" hidden="false" customHeight="true" outlineLevel="0" collapsed="false">
      <c r="B7" s="50" t="n">
        <v>2</v>
      </c>
      <c r="C7" s="87" t="s">
        <v>97</v>
      </c>
      <c r="D7" s="88" t="n">
        <v>46.9</v>
      </c>
      <c r="E7" s="88" t="n">
        <v>21</v>
      </c>
      <c r="F7" s="88" t="n">
        <v>32.3</v>
      </c>
      <c r="G7" s="89" t="n">
        <f aca="false">SUM(D7:F7)</f>
        <v>100.2</v>
      </c>
      <c r="H7" s="90" t="n">
        <v>50</v>
      </c>
      <c r="I7" s="90" t="n">
        <v>22</v>
      </c>
      <c r="J7" s="90" t="n">
        <v>38</v>
      </c>
      <c r="K7" s="91" t="n">
        <f aca="false">SUM(H7:J7)</f>
        <v>110</v>
      </c>
      <c r="L7" s="92" t="n">
        <f aca="false">K7/60</f>
        <v>1.83333333333333</v>
      </c>
      <c r="M7" s="93" t="n">
        <v>0</v>
      </c>
      <c r="N7" s="103" t="n">
        <v>2</v>
      </c>
      <c r="O7" s="104" t="n">
        <f aca="false">L7/N7</f>
        <v>0.916666666666667</v>
      </c>
      <c r="P7" s="105" t="n">
        <f aca="false">M7/N7</f>
        <v>0</v>
      </c>
      <c r="Q7" s="97" t="n">
        <v>0</v>
      </c>
      <c r="R7" s="98" t="str">
        <f aca="false">INDEX('Base Chapecó'!$K$7:$K$20,MATCH(C7,'Base Chapecó'!$B$7:$B$20,0))</f>
        <v>SIM</v>
      </c>
      <c r="S7" s="99" t="n">
        <v>1</v>
      </c>
    </row>
    <row r="8" customFormat="false" ht="16.5" hidden="false" customHeight="true" outlineLevel="0" collapsed="false">
      <c r="B8" s="50"/>
      <c r="C8" s="87" t="s">
        <v>98</v>
      </c>
      <c r="D8" s="88"/>
      <c r="E8" s="88"/>
      <c r="F8" s="88"/>
      <c r="G8" s="89"/>
      <c r="H8" s="90"/>
      <c r="I8" s="90"/>
      <c r="J8" s="90"/>
      <c r="K8" s="91"/>
      <c r="L8" s="92"/>
      <c r="M8" s="93"/>
      <c r="N8" s="103"/>
      <c r="O8" s="100" t="n">
        <f aca="false">O7</f>
        <v>0.916666666666667</v>
      </c>
      <c r="P8" s="106" t="n">
        <f aca="false">P7</f>
        <v>0</v>
      </c>
      <c r="Q8" s="107" t="n">
        <v>0</v>
      </c>
      <c r="R8" s="98" t="str">
        <f aca="false">INDEX('Base Chapecó'!$K$7:$K$20,MATCH(C8,'Base Chapecó'!$B$7:$B$20,0))</f>
        <v>NÃO</v>
      </c>
      <c r="S8" s="99" t="n">
        <v>1</v>
      </c>
    </row>
    <row r="9" customFormat="false" ht="16.5" hidden="false" customHeight="true" outlineLevel="0" collapsed="false">
      <c r="B9" s="50" t="n">
        <v>3</v>
      </c>
      <c r="C9" s="87" t="s">
        <v>85</v>
      </c>
      <c r="D9" s="88" t="n">
        <v>152</v>
      </c>
      <c r="E9" s="88" t="n">
        <v>71.7</v>
      </c>
      <c r="F9" s="88" t="n">
        <v>81.9</v>
      </c>
      <c r="G9" s="89" t="n">
        <f aca="false">SUM(D9:F9)</f>
        <v>305.6</v>
      </c>
      <c r="H9" s="88" t="n">
        <v>168</v>
      </c>
      <c r="I9" s="88" t="n">
        <v>84</v>
      </c>
      <c r="J9" s="88" t="n">
        <v>103</v>
      </c>
      <c r="K9" s="89" t="n">
        <f aca="false">SUM(H9:J9)</f>
        <v>355</v>
      </c>
      <c r="L9" s="89" t="n">
        <f aca="false">K9/60</f>
        <v>5.91666666666667</v>
      </c>
      <c r="M9" s="93" t="n">
        <v>0</v>
      </c>
      <c r="N9" s="103" t="n">
        <v>2</v>
      </c>
      <c r="O9" s="95" t="n">
        <f aca="false">L9/N9</f>
        <v>2.95833333333333</v>
      </c>
      <c r="P9" s="97" t="n">
        <f aca="false">M9/N9</f>
        <v>0</v>
      </c>
      <c r="Q9" s="102" t="n">
        <f aca="false">($E$37/N9)*2</f>
        <v>139.4</v>
      </c>
      <c r="R9" s="98" t="str">
        <f aca="false">INDEX('Base Chapecó'!$K$7:$K$20,MATCH(C9,'Base Chapecó'!$B$7:$B$20,0))</f>
        <v>SIM</v>
      </c>
      <c r="S9" s="99" t="n">
        <v>1</v>
      </c>
    </row>
    <row r="10" customFormat="false" ht="16.5" hidden="false" customHeight="true" outlineLevel="0" collapsed="false">
      <c r="B10" s="50"/>
      <c r="C10" s="87" t="s">
        <v>87</v>
      </c>
      <c r="D10" s="88"/>
      <c r="E10" s="88"/>
      <c r="F10" s="88"/>
      <c r="G10" s="89"/>
      <c r="H10" s="88"/>
      <c r="I10" s="88"/>
      <c r="J10" s="88"/>
      <c r="K10" s="89"/>
      <c r="L10" s="89"/>
      <c r="M10" s="93"/>
      <c r="N10" s="103"/>
      <c r="O10" s="100" t="n">
        <f aca="false">O9</f>
        <v>2.95833333333333</v>
      </c>
      <c r="P10" s="107" t="n">
        <f aca="false">P9</f>
        <v>0</v>
      </c>
      <c r="Q10" s="107" t="n">
        <f aca="false">Q9</f>
        <v>139.4</v>
      </c>
      <c r="R10" s="98" t="str">
        <f aca="false">INDEX('Base Chapecó'!$K$7:$K$20,MATCH(C10,'Base Chapecó'!$B$7:$B$20,0))</f>
        <v>SIM</v>
      </c>
      <c r="S10" s="99" t="n">
        <v>1</v>
      </c>
    </row>
    <row r="11" customFormat="false" ht="16.5" hidden="false" customHeight="true" outlineLevel="0" collapsed="false">
      <c r="B11" s="50" t="n">
        <v>4</v>
      </c>
      <c r="C11" s="87" t="s">
        <v>83</v>
      </c>
      <c r="D11" s="88" t="n">
        <v>208</v>
      </c>
      <c r="E11" s="88" t="n">
        <v>44.7</v>
      </c>
      <c r="F11" s="88" t="n">
        <v>169</v>
      </c>
      <c r="G11" s="89" t="n">
        <f aca="false">SUM(D11:F11)</f>
        <v>421.7</v>
      </c>
      <c r="H11" s="88" t="n">
        <v>191</v>
      </c>
      <c r="I11" s="88" t="n">
        <v>45</v>
      </c>
      <c r="J11" s="88" t="n">
        <v>163</v>
      </c>
      <c r="K11" s="89" t="n">
        <f aca="false">SUM(H11:J11)</f>
        <v>399</v>
      </c>
      <c r="L11" s="89" t="n">
        <f aca="false">K11/60</f>
        <v>6.65</v>
      </c>
      <c r="M11" s="93" t="n">
        <v>0</v>
      </c>
      <c r="N11" s="103" t="n">
        <v>2</v>
      </c>
      <c r="O11" s="95" t="n">
        <f aca="false">L11/N11</f>
        <v>3.325</v>
      </c>
      <c r="P11" s="97" t="n">
        <f aca="false">M11/N11</f>
        <v>0</v>
      </c>
      <c r="Q11" s="102" t="n">
        <f aca="false">($E$37/N11)*2</f>
        <v>139.4</v>
      </c>
      <c r="R11" s="98" t="str">
        <f aca="false">INDEX('Base Chapecó'!$K$7:$K$20,MATCH(C11,'Base Chapecó'!$B$7:$B$20,0))</f>
        <v>SIM</v>
      </c>
      <c r="S11" s="99" t="n">
        <v>1</v>
      </c>
    </row>
    <row r="12" customFormat="false" ht="16.5" hidden="false" customHeight="true" outlineLevel="0" collapsed="false">
      <c r="B12" s="50"/>
      <c r="C12" s="87" t="s">
        <v>90</v>
      </c>
      <c r="D12" s="88"/>
      <c r="E12" s="88"/>
      <c r="F12" s="88"/>
      <c r="G12" s="89"/>
      <c r="H12" s="88"/>
      <c r="I12" s="88"/>
      <c r="J12" s="88"/>
      <c r="K12" s="89"/>
      <c r="L12" s="89"/>
      <c r="M12" s="93" t="n">
        <v>0</v>
      </c>
      <c r="N12" s="103"/>
      <c r="O12" s="100" t="n">
        <f aca="false">O11</f>
        <v>3.325</v>
      </c>
      <c r="P12" s="107" t="n">
        <f aca="false">P11</f>
        <v>0</v>
      </c>
      <c r="Q12" s="107" t="n">
        <f aca="false">Q11</f>
        <v>139.4</v>
      </c>
      <c r="R12" s="98" t="str">
        <f aca="false">INDEX('Base Chapecó'!$K$7:$K$20,MATCH(C12,'Base Chapecó'!$B$7:$B$20,0))</f>
        <v>SIM</v>
      </c>
      <c r="S12" s="99" t="n">
        <v>1</v>
      </c>
    </row>
    <row r="13" customFormat="false" ht="16.5" hidden="false" customHeight="true" outlineLevel="0" collapsed="false">
      <c r="B13" s="50" t="n">
        <v>5</v>
      </c>
      <c r="C13" s="87" t="s">
        <v>89</v>
      </c>
      <c r="D13" s="88" t="n">
        <v>236</v>
      </c>
      <c r="E13" s="88" t="n">
        <v>26.2</v>
      </c>
      <c r="F13" s="88" t="n">
        <v>214</v>
      </c>
      <c r="G13" s="89" t="n">
        <f aca="false">SUM(D13:F13)</f>
        <v>476.2</v>
      </c>
      <c r="H13" s="88" t="n">
        <v>243</v>
      </c>
      <c r="I13" s="88" t="n">
        <v>31</v>
      </c>
      <c r="J13" s="88" t="n">
        <v>219</v>
      </c>
      <c r="K13" s="89" t="n">
        <f aca="false">SUM(H13:J13)</f>
        <v>493</v>
      </c>
      <c r="L13" s="89" t="n">
        <f aca="false">K13/60</f>
        <v>8.21666666666667</v>
      </c>
      <c r="M13" s="93" t="n">
        <v>0</v>
      </c>
      <c r="N13" s="103" t="n">
        <v>2</v>
      </c>
      <c r="O13" s="95" t="n">
        <f aca="false">L13/N13</f>
        <v>4.10833333333333</v>
      </c>
      <c r="P13" s="97" t="n">
        <f aca="false">M13/N13</f>
        <v>0</v>
      </c>
      <c r="Q13" s="102" t="n">
        <f aca="false">($E$37/N13)*2</f>
        <v>139.4</v>
      </c>
      <c r="R13" s="98" t="str">
        <f aca="false">INDEX('Base Chapecó'!$K$7:$K$20,MATCH(C13,'Base Chapecó'!$B$7:$B$20,0))</f>
        <v>SIM</v>
      </c>
      <c r="S13" s="99" t="n">
        <v>1</v>
      </c>
    </row>
    <row r="14" customFormat="false" ht="16.5" hidden="false" customHeight="true" outlineLevel="0" collapsed="false">
      <c r="B14" s="50"/>
      <c r="C14" s="87" t="s">
        <v>96</v>
      </c>
      <c r="D14" s="88"/>
      <c r="E14" s="88"/>
      <c r="F14" s="88"/>
      <c r="G14" s="89"/>
      <c r="H14" s="88"/>
      <c r="I14" s="88"/>
      <c r="J14" s="88"/>
      <c r="K14" s="89"/>
      <c r="L14" s="89"/>
      <c r="M14" s="93"/>
      <c r="N14" s="103"/>
      <c r="O14" s="100" t="n">
        <f aca="false">O13</f>
        <v>4.10833333333333</v>
      </c>
      <c r="P14" s="107" t="n">
        <f aca="false">P13</f>
        <v>0</v>
      </c>
      <c r="Q14" s="107" t="n">
        <f aca="false">Q13</f>
        <v>139.4</v>
      </c>
      <c r="R14" s="98" t="str">
        <f aca="false">INDEX('Base Chapecó'!$K$7:$K$20,MATCH(C14,'Base Chapecó'!$B$7:$B$20,0))</f>
        <v>SIM</v>
      </c>
      <c r="S14" s="99" t="n">
        <v>1</v>
      </c>
    </row>
    <row r="15" customFormat="false" ht="16.5" hidden="false" customHeight="true" outlineLevel="0" collapsed="false">
      <c r="B15" s="50" t="n">
        <v>6</v>
      </c>
      <c r="C15" s="87" t="s">
        <v>92</v>
      </c>
      <c r="D15" s="88" t="n">
        <v>88.4</v>
      </c>
      <c r="E15" s="88" t="n">
        <v>30.4</v>
      </c>
      <c r="F15" s="88" t="n">
        <v>62.8</v>
      </c>
      <c r="G15" s="89" t="n">
        <f aca="false">SUM(D15:F15)</f>
        <v>181.6</v>
      </c>
      <c r="H15" s="88" t="n">
        <v>91</v>
      </c>
      <c r="I15" s="88" t="n">
        <v>34</v>
      </c>
      <c r="J15" s="88" t="n">
        <v>67</v>
      </c>
      <c r="K15" s="89" t="n">
        <f aca="false">SUM(H15:J15)</f>
        <v>192</v>
      </c>
      <c r="L15" s="89" t="n">
        <f aca="false">K15/60</f>
        <v>3.2</v>
      </c>
      <c r="M15" s="98" t="n">
        <v>0</v>
      </c>
      <c r="N15" s="103" t="n">
        <v>2</v>
      </c>
      <c r="O15" s="95" t="n">
        <f aca="false">L15/N15</f>
        <v>1.6</v>
      </c>
      <c r="P15" s="97" t="n">
        <f aca="false">M15/N15</f>
        <v>0</v>
      </c>
      <c r="Q15" s="97" t="n">
        <v>0</v>
      </c>
      <c r="R15" s="98" t="str">
        <f aca="false">INDEX('Base Chapecó'!$K$7:$K$20,MATCH(C15,'Base Chapecó'!$B$7:$B$20,0))</f>
        <v>SIM</v>
      </c>
      <c r="S15" s="99" t="n">
        <v>1</v>
      </c>
    </row>
    <row r="16" customFormat="false" ht="16.5" hidden="false" customHeight="true" outlineLevel="0" collapsed="false">
      <c r="B16" s="50"/>
      <c r="C16" s="87" t="s">
        <v>93</v>
      </c>
      <c r="D16" s="88"/>
      <c r="E16" s="88"/>
      <c r="F16" s="88"/>
      <c r="G16" s="89"/>
      <c r="H16" s="88"/>
      <c r="I16" s="88"/>
      <c r="J16" s="88"/>
      <c r="K16" s="89"/>
      <c r="L16" s="89"/>
      <c r="M16" s="98"/>
      <c r="N16" s="103"/>
      <c r="O16" s="100" t="n">
        <f aca="false">O15</f>
        <v>1.6</v>
      </c>
      <c r="P16" s="107" t="n">
        <f aca="false">P15</f>
        <v>0</v>
      </c>
      <c r="Q16" s="107" t="n">
        <v>0</v>
      </c>
      <c r="R16" s="98" t="str">
        <f aca="false">INDEX('Base Chapecó'!$K$7:$K$20,MATCH(C16,'Base Chapecó'!$B$7:$B$20,0))</f>
        <v>SIM</v>
      </c>
      <c r="S16" s="99" t="n">
        <v>1</v>
      </c>
    </row>
    <row r="17" customFormat="false" ht="16.5" hidden="false" customHeight="true" outlineLevel="0" collapsed="false">
      <c r="B17" s="108" t="n">
        <v>7</v>
      </c>
      <c r="C17" s="87" t="s">
        <v>95</v>
      </c>
      <c r="D17" s="109" t="n">
        <v>129</v>
      </c>
      <c r="E17" s="109" t="n">
        <v>133</v>
      </c>
      <c r="F17" s="109" t="n">
        <v>0</v>
      </c>
      <c r="G17" s="110" t="n">
        <f aca="false">SUM(D17:F17)</f>
        <v>262</v>
      </c>
      <c r="H17" s="88" t="n">
        <v>127</v>
      </c>
      <c r="I17" s="88" t="n">
        <v>131</v>
      </c>
      <c r="J17" s="88" t="n">
        <v>0</v>
      </c>
      <c r="K17" s="89" t="n">
        <f aca="false">SUM(H17:J17)</f>
        <v>258</v>
      </c>
      <c r="L17" s="110" t="n">
        <f aca="false">K17/60</f>
        <v>4.3</v>
      </c>
      <c r="M17" s="111" t="n">
        <v>0</v>
      </c>
      <c r="N17" s="112" t="n">
        <v>1</v>
      </c>
      <c r="O17" s="113" t="n">
        <f aca="false">L17/N17</f>
        <v>4.3</v>
      </c>
      <c r="P17" s="111" t="n">
        <f aca="false">M17/N17</f>
        <v>0</v>
      </c>
      <c r="Q17" s="111" t="n">
        <v>0</v>
      </c>
      <c r="R17" s="98" t="str">
        <f aca="false">INDEX('Base Chapecó'!$K$7:$K$20,MATCH(C17,'Base Chapecó'!$B$7:$B$20,0))</f>
        <v>SIM</v>
      </c>
      <c r="S17" s="99" t="n">
        <v>1</v>
      </c>
    </row>
    <row r="18" customFormat="false" ht="16.5" hidden="false" customHeight="true" outlineLevel="0" collapsed="false">
      <c r="B18" s="108" t="n">
        <v>8</v>
      </c>
      <c r="C18" s="87" t="s">
        <v>81</v>
      </c>
      <c r="D18" s="109" t="n">
        <v>222</v>
      </c>
      <c r="E18" s="109" t="n">
        <v>227</v>
      </c>
      <c r="F18" s="109" t="n">
        <v>0</v>
      </c>
      <c r="G18" s="110" t="n">
        <f aca="false">SUM(D18:F18)</f>
        <v>449</v>
      </c>
      <c r="H18" s="88" t="n">
        <v>198</v>
      </c>
      <c r="I18" s="88" t="n">
        <v>208</v>
      </c>
      <c r="J18" s="88" t="n">
        <v>0</v>
      </c>
      <c r="K18" s="89" t="n">
        <f aca="false">SUM(H18:J18)</f>
        <v>406</v>
      </c>
      <c r="L18" s="110" t="n">
        <f aca="false">K18/60</f>
        <v>6.76666666666667</v>
      </c>
      <c r="M18" s="111" t="n">
        <v>0</v>
      </c>
      <c r="N18" s="112" t="n">
        <v>1</v>
      </c>
      <c r="O18" s="113" t="n">
        <f aca="false">L18/N18</f>
        <v>6.76666666666667</v>
      </c>
      <c r="P18" s="111" t="n">
        <f aca="false">M18/N18</f>
        <v>0</v>
      </c>
      <c r="Q18" s="102" t="n">
        <f aca="false">($E$37/N18)*2</f>
        <v>278.8</v>
      </c>
      <c r="R18" s="98" t="str">
        <f aca="false">INDEX('Base Chapecó'!$K$7:$K$20,MATCH(C18,'Base Chapecó'!$B$7:$B$20,0))</f>
        <v>SIM</v>
      </c>
      <c r="S18" s="99" t="n">
        <v>1</v>
      </c>
    </row>
    <row r="19" customFormat="false" ht="19.5" hidden="false" customHeight="true" outlineLevel="0" collapsed="false">
      <c r="B19" s="114" t="s">
        <v>100</v>
      </c>
      <c r="C19" s="114"/>
      <c r="D19" s="114"/>
      <c r="E19" s="114"/>
      <c r="F19" s="114"/>
      <c r="G19" s="115" t="n">
        <f aca="false">SUM(G5:G18)</f>
        <v>2198.15</v>
      </c>
      <c r="H19" s="115" t="s">
        <v>100</v>
      </c>
      <c r="I19" s="115"/>
      <c r="J19" s="115"/>
      <c r="K19" s="115" t="n">
        <f aca="false">SUM(K5:K18)</f>
        <v>2217</v>
      </c>
      <c r="L19" s="116" t="n">
        <f aca="false">SUM(L5:L18)</f>
        <v>36.95</v>
      </c>
      <c r="M19" s="117" t="n">
        <f aca="false">SUM(M5:M18)</f>
        <v>0</v>
      </c>
      <c r="N19" s="118" t="n">
        <f aca="false">SUM(N5:N18)</f>
        <v>14</v>
      </c>
      <c r="O19" s="119"/>
      <c r="P19" s="120"/>
      <c r="Q19" s="117" t="n">
        <f aca="false">SUM(Q5:Q18)</f>
        <v>1115.2</v>
      </c>
      <c r="R19" s="120"/>
      <c r="S19" s="120"/>
    </row>
    <row r="20" customFormat="false" ht="16.5" hidden="false" customHeight="true" outlineLevel="0" collapsed="false">
      <c r="B20" s="121"/>
      <c r="C20" s="121"/>
      <c r="D20" s="121"/>
      <c r="E20" s="121"/>
      <c r="F20" s="121"/>
    </row>
    <row r="21" customFormat="false" ht="18.75" hidden="false" customHeight="true" outlineLevel="0" collapsed="false">
      <c r="B21" s="122" t="s">
        <v>120</v>
      </c>
      <c r="C21" s="122"/>
      <c r="D21" s="122"/>
      <c r="E21" s="122"/>
      <c r="F21" s="121"/>
      <c r="G21" s="121"/>
      <c r="H21" s="121"/>
      <c r="I21" s="121"/>
      <c r="J21" s="121"/>
      <c r="K21" s="121"/>
      <c r="L21" s="121"/>
      <c r="M21" s="121"/>
      <c r="N21" s="123"/>
      <c r="O21" s="123"/>
    </row>
    <row r="22" customFormat="false" ht="18.75" hidden="false" customHeight="true" outlineLevel="0" collapsed="false">
      <c r="B22" s="124" t="s">
        <v>121</v>
      </c>
      <c r="C22" s="124" t="s">
        <v>122</v>
      </c>
      <c r="D22" s="124" t="s">
        <v>123</v>
      </c>
      <c r="E22" s="124" t="s">
        <v>124</v>
      </c>
      <c r="F22" s="121"/>
      <c r="G22" s="121"/>
      <c r="H22" s="123"/>
      <c r="I22" s="123"/>
      <c r="J22" s="121"/>
      <c r="K22" s="121"/>
      <c r="L22" s="121"/>
      <c r="M22" s="121"/>
      <c r="N22" s="123"/>
      <c r="O22" s="123"/>
    </row>
    <row r="23" customFormat="false" ht="18.75" hidden="false" customHeight="true" outlineLevel="0" collapsed="false">
      <c r="B23" s="50" t="s">
        <v>125</v>
      </c>
      <c r="C23" s="125" t="s">
        <v>126</v>
      </c>
      <c r="D23" s="50" t="s">
        <v>127</v>
      </c>
      <c r="E23" s="126" t="n">
        <f aca="false">'Comp. Veículo SC'!D11</f>
        <v>54.43</v>
      </c>
      <c r="F23" s="121"/>
      <c r="G23" s="121"/>
      <c r="H23" s="127"/>
      <c r="I23" s="127"/>
      <c r="J23" s="121"/>
      <c r="K23" s="121"/>
      <c r="L23" s="121"/>
      <c r="M23" s="121"/>
      <c r="N23" s="123"/>
      <c r="O23" s="123"/>
    </row>
    <row r="24" customFormat="false" ht="18.75" hidden="false" customHeight="true" outlineLevel="0" collapsed="false">
      <c r="B24" s="108" t="s">
        <v>128</v>
      </c>
      <c r="C24" s="128" t="s">
        <v>126</v>
      </c>
      <c r="D24" s="108" t="s">
        <v>129</v>
      </c>
      <c r="E24" s="129" t="n">
        <f aca="false">'Comp. Veículo SC'!D27</f>
        <v>6.56</v>
      </c>
      <c r="F24" s="121"/>
      <c r="G24" s="121"/>
      <c r="H24" s="127"/>
      <c r="I24" s="127"/>
      <c r="J24" s="121"/>
      <c r="K24" s="121"/>
      <c r="L24" s="121"/>
      <c r="M24" s="121"/>
      <c r="N24" s="123"/>
      <c r="O24" s="123"/>
    </row>
    <row r="25" customFormat="false" ht="47.25" hidden="false" customHeight="true" outlineLevel="0" collapsed="false">
      <c r="B25" s="130" t="s">
        <v>130</v>
      </c>
      <c r="C25" s="130"/>
      <c r="D25" s="130"/>
      <c r="E25" s="130"/>
      <c r="F25" s="131"/>
      <c r="G25" s="131"/>
      <c r="H25" s="131"/>
      <c r="I25" s="131"/>
      <c r="J25" s="131"/>
      <c r="K25" s="131"/>
      <c r="L25" s="131"/>
      <c r="M25" s="121"/>
      <c r="N25" s="123"/>
      <c r="O25" s="123"/>
    </row>
    <row r="26" customFormat="false" ht="16.5" hidden="false" customHeight="true" outlineLevel="0" collapsed="false">
      <c r="B26" s="132"/>
      <c r="C26" s="132"/>
      <c r="D26" s="132"/>
      <c r="E26" s="132"/>
      <c r="F26" s="131"/>
      <c r="G26" s="131"/>
      <c r="H26" s="131"/>
      <c r="I26" s="131"/>
      <c r="J26" s="131"/>
      <c r="K26" s="131"/>
      <c r="L26" s="131"/>
      <c r="M26" s="121"/>
      <c r="N26" s="123"/>
      <c r="O26" s="123"/>
    </row>
    <row r="27" customFormat="false" ht="16.5" hidden="false" customHeight="true" outlineLevel="0" collapsed="false">
      <c r="B27" s="122" t="s">
        <v>131</v>
      </c>
      <c r="C27" s="122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3"/>
      <c r="O27" s="123"/>
    </row>
    <row r="28" customFormat="false" ht="16.5" hidden="false" customHeight="true" outlineLevel="0" collapsed="false">
      <c r="B28" s="50" t="s">
        <v>127</v>
      </c>
      <c r="C28" s="126" t="n">
        <f aca="false">E23*L19</f>
        <v>2011.1885</v>
      </c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3"/>
      <c r="O28" s="123"/>
    </row>
    <row r="29" customFormat="false" ht="16.5" hidden="false" customHeight="true" outlineLevel="0" collapsed="false">
      <c r="B29" s="50" t="s">
        <v>129</v>
      </c>
      <c r="C29" s="126" t="n">
        <f aca="false">E24*('Base Chapecó'!N21/12)</f>
        <v>334.860666666667</v>
      </c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3"/>
      <c r="O29" s="123"/>
    </row>
    <row r="30" customFormat="false" ht="16.5" hidden="false" customHeight="true" outlineLevel="0" collapsed="false">
      <c r="B30" s="133" t="s">
        <v>28</v>
      </c>
      <c r="C30" s="134" t="n">
        <f aca="false">C28+C29</f>
        <v>2346.04916666667</v>
      </c>
      <c r="D30" s="121"/>
      <c r="E30" s="121"/>
      <c r="F30" s="121"/>
      <c r="G30" s="121"/>
      <c r="H30" s="121"/>
      <c r="I30" s="121"/>
      <c r="M30" s="121"/>
      <c r="N30" s="123"/>
      <c r="O30" s="123"/>
    </row>
    <row r="31" customFormat="false" ht="16.5" hidden="false" customHeight="true" outlineLevel="0" collapsed="false">
      <c r="B31" s="121"/>
      <c r="C31" s="135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3"/>
      <c r="O31" s="123"/>
    </row>
    <row r="32" customFormat="false" ht="16.5" hidden="false" customHeight="true" outlineLevel="0" collapsed="false">
      <c r="B32" s="136" t="s">
        <v>132</v>
      </c>
      <c r="C32" s="136"/>
      <c r="D32" s="121"/>
      <c r="J32" s="121"/>
      <c r="K32" s="121"/>
      <c r="L32" s="121"/>
      <c r="M32" s="121"/>
      <c r="N32" s="123"/>
      <c r="O32" s="123"/>
    </row>
    <row r="33" customFormat="false" ht="16.5" hidden="false" customHeight="true" outlineLevel="0" collapsed="false">
      <c r="B33" s="137" t="s">
        <v>124</v>
      </c>
      <c r="C33" s="138" t="n">
        <f aca="false">SUM(M5:M18)</f>
        <v>0</v>
      </c>
      <c r="J33" s="121"/>
      <c r="K33" s="121"/>
      <c r="L33" s="121"/>
      <c r="M33" s="121"/>
      <c r="N33" s="123"/>
      <c r="O33" s="123"/>
    </row>
    <row r="34" customFormat="false" ht="16.5" hidden="false" customHeight="true" outlineLevel="0" collapsed="false">
      <c r="B34" s="121"/>
      <c r="C34" s="139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3"/>
      <c r="O34" s="123"/>
    </row>
    <row r="35" customFormat="false" ht="16.5" hidden="false" customHeight="true" outlineLevel="0" collapsed="false">
      <c r="B35" s="140" t="s">
        <v>67</v>
      </c>
      <c r="C35" s="140"/>
      <c r="D35" s="140"/>
      <c r="E35" s="140"/>
      <c r="F35" s="141"/>
      <c r="G35" s="141"/>
    </row>
    <row r="36" customFormat="false" ht="16.5" hidden="false" customHeight="true" outlineLevel="0" collapsed="false">
      <c r="B36" s="142" t="s">
        <v>133</v>
      </c>
      <c r="C36" s="142" t="s">
        <v>122</v>
      </c>
      <c r="D36" s="142" t="s">
        <v>123</v>
      </c>
      <c r="E36" s="142" t="s">
        <v>124</v>
      </c>
      <c r="F36" s="141"/>
      <c r="G36" s="141"/>
    </row>
    <row r="37" customFormat="false" ht="25.5" hidden="false" customHeight="false" outlineLevel="0" collapsed="false">
      <c r="B37" s="108" t="s">
        <v>134</v>
      </c>
      <c r="C37" s="143" t="s">
        <v>135</v>
      </c>
      <c r="D37" s="108" t="s">
        <v>136</v>
      </c>
      <c r="E37" s="129" t="n">
        <v>139.4</v>
      </c>
      <c r="F37" s="141"/>
      <c r="G37" s="144"/>
    </row>
    <row r="38" customFormat="false" ht="16.5" hidden="false" customHeight="true" outlineLevel="0" collapsed="false">
      <c r="B38" s="145" t="s">
        <v>137</v>
      </c>
      <c r="C38" s="145"/>
      <c r="D38" s="145"/>
      <c r="E38" s="145"/>
      <c r="F38" s="141"/>
    </row>
  </sheetData>
  <mergeCells count="81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N15:N16"/>
    <mergeCell ref="B19:F19"/>
    <mergeCell ref="H19:J19"/>
    <mergeCell ref="B21:E21"/>
    <mergeCell ref="B25:E25"/>
    <mergeCell ref="B27:C27"/>
    <mergeCell ref="B32:C32"/>
    <mergeCell ref="B35:E35"/>
    <mergeCell ref="B38:E38"/>
  </mergeCells>
  <printOptions headings="false" gridLines="false" gridLinesSet="true" horizontalCentered="true" verticalCentered="true"/>
  <pageMargins left="0.7875" right="0.7875" top="0.196527777777778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BN65527"/>
  <sheetViews>
    <sheetView showFormulas="false" showGridLines="false" showRowColHeaders="true" showZeros="true" rightToLeft="false" tabSelected="false" showOutlineSymbols="true" defaultGridColor="true" view="normal" topLeftCell="B13" colorId="64" zoomScale="100" zoomScaleNormal="100" zoomScalePageLayoutView="100" workbookViewId="0">
      <selection pane="topLeft" activeCell="C20" activeCellId="0" sqref="C20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6" width="33.62"/>
    <col collapsed="false" customWidth="true" hidden="false" outlineLevel="0" max="15" min="3" style="16" width="12.62"/>
    <col collapsed="false" customWidth="true" hidden="false" outlineLevel="0" max="16" min="16" style="16" width="9.62"/>
    <col collapsed="false" customWidth="true" hidden="false" outlineLevel="0" max="17" min="17" style="16" width="30.26"/>
    <col collapsed="false" customWidth="true" hidden="false" outlineLevel="0" max="33" min="18" style="16" width="11.5"/>
    <col collapsed="false" customWidth="true" hidden="false" outlineLevel="0" max="34" min="34" style="16" width="11"/>
    <col collapsed="false" customWidth="true" hidden="false" outlineLevel="0" max="35" min="35" style="16" width="30.62"/>
    <col collapsed="false" customWidth="true" hidden="false" outlineLevel="0" max="40" min="36" style="16" width="10.75"/>
    <col collapsed="false" customWidth="true" hidden="false" outlineLevel="0" max="41" min="41" style="16" width="14.5"/>
    <col collapsed="false" customWidth="true" hidden="false" outlineLevel="0" max="42" min="42" style="16" width="12.5"/>
    <col collapsed="false" customWidth="true" hidden="false" outlineLevel="0" max="43" min="43" style="16" width="14.25"/>
    <col collapsed="false" customWidth="true" hidden="false" outlineLevel="0" max="44" min="44" style="16" width="2.62"/>
    <col collapsed="false" customWidth="true" hidden="false" outlineLevel="0" max="45" min="45" style="16" width="28.12"/>
    <col collapsed="false" customWidth="true" hidden="false" outlineLevel="0" max="46" min="46" style="16" width="12.76"/>
    <col collapsed="false" customWidth="true" hidden="false" outlineLevel="0" max="49" min="47" style="16" width="11.75"/>
    <col collapsed="false" customWidth="true" hidden="false" outlineLevel="0" max="66" min="50" style="16" width="10.75"/>
    <col collapsed="false" customWidth="true" hidden="false" outlineLevel="0" max="256" min="67" style="2" width="10.75"/>
    <col collapsed="false" customWidth="true" hidden="false" outlineLevel="0" max="1012" min="257" style="1" width="10.62"/>
  </cols>
  <sheetData>
    <row r="1" customFormat="false" ht="15" hidden="false" customHeight="true" outlineLevel="0" collapsed="false"/>
    <row r="2" s="53" customFormat="true" ht="24.75" hidden="false" customHeight="true" outlineLevel="0" collapsed="false">
      <c r="B2" s="54" t="str">
        <f aca="false">"BASE "&amp;Resumo!B6&amp;" - PLANILHA DE FORMAÇÃO DE PREÇOS"</f>
        <v>BASE PATO BRANCO - PLANILHA DE FORMAÇÃO DE PREÇOS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5"/>
      <c r="Q2" s="44" t="str">
        <f aca="false">"BASE "&amp;Resumo!B6&amp;" – PLANILHA DE DISTRIBUIÇÃO DE CUSTOS POR UNIDADE"</f>
        <v>BASE PATO BRANCO – PLANILHA DE DISTRIBUIÇÃO DE CUSTOS POR UNIDADE</v>
      </c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5"/>
      <c r="AI2" s="57" t="str">
        <f aca="false">"BASE "&amp;Resumo!B6&amp;" – PLANILHA RESUMO DE CUSTOS DA BASE"</f>
        <v>BASE PATO BRANCO – PLANILHA RESUMO DE CUSTOS DA BASE</v>
      </c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</row>
    <row r="3" customFormat="false" ht="15" hidden="false" customHeight="true" outlineLevel="0" collapsed="false">
      <c r="B3" s="53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</row>
    <row r="4" customFormat="false" ht="19.5" hidden="false" customHeight="true" outlineLevel="0" collapsed="false">
      <c r="B4" s="47" t="s">
        <v>41</v>
      </c>
      <c r="C4" s="47" t="s">
        <v>42</v>
      </c>
      <c r="D4" s="47"/>
      <c r="E4" s="47"/>
      <c r="F4" s="47"/>
      <c r="G4" s="47"/>
      <c r="H4" s="47" t="s">
        <v>43</v>
      </c>
      <c r="I4" s="47"/>
      <c r="J4" s="47"/>
      <c r="K4" s="47"/>
      <c r="L4" s="47"/>
      <c r="M4" s="47"/>
      <c r="N4" s="47"/>
      <c r="O4" s="47" t="s">
        <v>28</v>
      </c>
      <c r="P4" s="55"/>
      <c r="Q4" s="47" t="s">
        <v>44</v>
      </c>
      <c r="R4" s="58" t="s">
        <v>45</v>
      </c>
      <c r="S4" s="58"/>
      <c r="T4" s="58"/>
      <c r="U4" s="58"/>
      <c r="V4" s="58" t="s">
        <v>46</v>
      </c>
      <c r="W4" s="58"/>
      <c r="X4" s="58"/>
      <c r="Y4" s="58"/>
      <c r="Z4" s="58" t="s">
        <v>47</v>
      </c>
      <c r="AA4" s="58"/>
      <c r="AB4" s="58"/>
      <c r="AC4" s="58"/>
      <c r="AD4" s="58" t="s">
        <v>48</v>
      </c>
      <c r="AE4" s="58"/>
      <c r="AF4" s="58"/>
      <c r="AG4" s="58"/>
      <c r="AH4" s="56"/>
      <c r="AI4" s="47" t="s">
        <v>44</v>
      </c>
      <c r="AJ4" s="59" t="s">
        <v>49</v>
      </c>
      <c r="AK4" s="59"/>
      <c r="AL4" s="59"/>
      <c r="AM4" s="59"/>
      <c r="AN4" s="59"/>
      <c r="AO4" s="59" t="s">
        <v>50</v>
      </c>
      <c r="AP4" s="59"/>
      <c r="AQ4" s="59"/>
      <c r="AR4" s="60"/>
      <c r="AS4" s="59" t="str">
        <f aca="false">"Resumo de Custos da Base "&amp;Resumo!B6</f>
        <v>Resumo de Custos da Base PATO BRANCO</v>
      </c>
      <c r="AT4" s="59"/>
      <c r="AU4" s="59"/>
      <c r="AV4" s="59"/>
      <c r="AW4" s="59"/>
    </row>
    <row r="5" customFormat="false" ht="39.75" hidden="false" customHeight="true" outlineLevel="0" collapsed="false">
      <c r="B5" s="47"/>
      <c r="C5" s="47" t="s">
        <v>28</v>
      </c>
      <c r="D5" s="47" t="s">
        <v>51</v>
      </c>
      <c r="E5" s="47" t="s">
        <v>52</v>
      </c>
      <c r="F5" s="47" t="s">
        <v>53</v>
      </c>
      <c r="G5" s="47" t="s">
        <v>54</v>
      </c>
      <c r="H5" s="47" t="s">
        <v>55</v>
      </c>
      <c r="I5" s="47" t="s">
        <v>56</v>
      </c>
      <c r="J5" s="47" t="s">
        <v>57</v>
      </c>
      <c r="K5" s="47" t="s">
        <v>58</v>
      </c>
      <c r="L5" s="47" t="s">
        <v>59</v>
      </c>
      <c r="M5" s="47" t="s">
        <v>60</v>
      </c>
      <c r="N5" s="47" t="s">
        <v>61</v>
      </c>
      <c r="O5" s="47"/>
      <c r="P5" s="55"/>
      <c r="Q5" s="47"/>
      <c r="R5" s="47" t="s">
        <v>62</v>
      </c>
      <c r="S5" s="47" t="s">
        <v>63</v>
      </c>
      <c r="T5" s="47" t="s">
        <v>64</v>
      </c>
      <c r="U5" s="47" t="s">
        <v>65</v>
      </c>
      <c r="V5" s="47" t="s">
        <v>66</v>
      </c>
      <c r="W5" s="47" t="s">
        <v>67</v>
      </c>
      <c r="X5" s="47" t="s">
        <v>68</v>
      </c>
      <c r="Y5" s="47" t="s">
        <v>69</v>
      </c>
      <c r="Z5" s="47" t="s">
        <v>70</v>
      </c>
      <c r="AA5" s="47"/>
      <c r="AB5" s="47"/>
      <c r="AC5" s="47" t="n">
        <f aca="false">N17+'Base Chapecó'!N21</f>
        <v>960.15</v>
      </c>
      <c r="AD5" s="58" t="s">
        <v>62</v>
      </c>
      <c r="AE5" s="58" t="s">
        <v>63</v>
      </c>
      <c r="AF5" s="58" t="s">
        <v>64</v>
      </c>
      <c r="AG5" s="58" t="s">
        <v>65</v>
      </c>
      <c r="AH5" s="43"/>
      <c r="AI5" s="47"/>
      <c r="AJ5" s="58" t="s">
        <v>71</v>
      </c>
      <c r="AK5" s="58" t="s">
        <v>62</v>
      </c>
      <c r="AL5" s="58" t="s">
        <v>63</v>
      </c>
      <c r="AM5" s="58" t="s">
        <v>64</v>
      </c>
      <c r="AN5" s="58" t="s">
        <v>65</v>
      </c>
      <c r="AO5" s="58" t="s">
        <v>72</v>
      </c>
      <c r="AP5" s="58" t="s">
        <v>73</v>
      </c>
      <c r="AQ5" s="58" t="s">
        <v>74</v>
      </c>
      <c r="AR5" s="56"/>
      <c r="AS5" s="58" t="s">
        <v>75</v>
      </c>
      <c r="AT5" s="58" t="s">
        <v>62</v>
      </c>
      <c r="AU5" s="58" t="s">
        <v>63</v>
      </c>
      <c r="AV5" s="58" t="s">
        <v>64</v>
      </c>
      <c r="AW5" s="58" t="s">
        <v>65</v>
      </c>
    </row>
    <row r="6" customFormat="false" ht="19.5" hidden="false" customHeight="true" outlineLevel="0" collapsed="false">
      <c r="B6" s="47"/>
      <c r="C6" s="61" t="s">
        <v>76</v>
      </c>
      <c r="D6" s="61" t="n">
        <v>1</v>
      </c>
      <c r="E6" s="61" t="n">
        <v>0.35</v>
      </c>
      <c r="F6" s="61" t="n">
        <v>0.1</v>
      </c>
      <c r="G6" s="47"/>
      <c r="H6" s="61" t="n">
        <v>1</v>
      </c>
      <c r="I6" s="61" t="n">
        <v>1.2</v>
      </c>
      <c r="J6" s="61" t="n">
        <v>2</v>
      </c>
      <c r="K6" s="61" t="n">
        <v>4</v>
      </c>
      <c r="L6" s="61" t="n">
        <v>1.1</v>
      </c>
      <c r="M6" s="61" t="n">
        <v>1.1</v>
      </c>
      <c r="N6" s="47"/>
      <c r="O6" s="47"/>
      <c r="P6" s="62"/>
      <c r="Q6" s="47"/>
      <c r="R6" s="61" t="s">
        <v>77</v>
      </c>
      <c r="S6" s="61" t="s">
        <v>78</v>
      </c>
      <c r="T6" s="61" t="s">
        <v>79</v>
      </c>
      <c r="U6" s="61" t="s">
        <v>80</v>
      </c>
      <c r="V6" s="47"/>
      <c r="W6" s="47"/>
      <c r="X6" s="47"/>
      <c r="Y6" s="47"/>
      <c r="Z6" s="35" t="s">
        <v>62</v>
      </c>
      <c r="AA6" s="35" t="s">
        <v>63</v>
      </c>
      <c r="AB6" s="35" t="s">
        <v>64</v>
      </c>
      <c r="AC6" s="35" t="s">
        <v>65</v>
      </c>
      <c r="AD6" s="58"/>
      <c r="AE6" s="58"/>
      <c r="AF6" s="58"/>
      <c r="AG6" s="58"/>
      <c r="AH6" s="56"/>
      <c r="AI6" s="47"/>
      <c r="AJ6" s="58"/>
      <c r="AK6" s="58"/>
      <c r="AL6" s="58"/>
      <c r="AM6" s="58"/>
      <c r="AN6" s="58"/>
      <c r="AO6" s="58"/>
      <c r="AP6" s="58" t="n">
        <f aca="false">'Base Chapecó'!AP6</f>
        <v>2.63636363636364</v>
      </c>
      <c r="AQ6" s="58"/>
      <c r="AR6" s="63"/>
      <c r="AS6" s="58"/>
      <c r="AT6" s="35" t="s">
        <v>77</v>
      </c>
      <c r="AU6" s="35" t="s">
        <v>78</v>
      </c>
      <c r="AV6" s="35" t="s">
        <v>79</v>
      </c>
      <c r="AW6" s="35" t="s">
        <v>80</v>
      </c>
    </row>
    <row r="7" customFormat="false" ht="15" hidden="false" customHeight="true" outlineLevel="0" collapsed="false">
      <c r="B7" s="22" t="s">
        <v>138</v>
      </c>
      <c r="C7" s="64" t="n">
        <f aca="false">VLOOKUP($B7,Unidades!$D$5:$N$28,6,FALSE())</f>
        <v>334.4</v>
      </c>
      <c r="D7" s="64" t="n">
        <f aca="false">VLOOKUP($B7,Unidades!$D$5:$N$28,7,FALSE())</f>
        <v>296</v>
      </c>
      <c r="E7" s="64" t="n">
        <f aca="false">VLOOKUP($B7,Unidades!$D$5:$N$28,8,FALSE())</f>
        <v>38.4</v>
      </c>
      <c r="F7" s="64" t="n">
        <f aca="false">VLOOKUP($B7,Unidades!$D$5:$N$28,9,FALSE())</f>
        <v>0</v>
      </c>
      <c r="G7" s="64" t="n">
        <f aca="false">D7+$E$6*E7+$F$6*F7</f>
        <v>309.44</v>
      </c>
      <c r="H7" s="65" t="n">
        <f aca="false">IF(G7&lt;750,1.5,IF(G7&lt;2000,2,IF(G7&lt;4000,3,12)))</f>
        <v>1.5</v>
      </c>
      <c r="I7" s="65" t="n">
        <f aca="false">$I$6*H7</f>
        <v>1.8</v>
      </c>
      <c r="J7" s="65" t="str">
        <f aca="false">VLOOKUP($B7,Unidades!$D$5:$N$28,10,FALSE())</f>
        <v>NÃO</v>
      </c>
      <c r="K7" s="65" t="str">
        <f aca="false">VLOOKUP($B7,Unidades!$D$5:$N$28,11,FALSE())</f>
        <v>NÃO</v>
      </c>
      <c r="L7" s="65" t="n">
        <f aca="false">$L$6*H7+(IF(J7="SIM",$J$6,0))</f>
        <v>1.65</v>
      </c>
      <c r="M7" s="65" t="n">
        <f aca="false">$M$6*H7+(IF(J7="SIM",$J$6,0))+(IF(K7="SIM",$K$6,0))</f>
        <v>1.65</v>
      </c>
      <c r="N7" s="65" t="n">
        <f aca="false">H7*12+I7*4+L7*2+M7</f>
        <v>30.15</v>
      </c>
      <c r="O7" s="66" t="n">
        <f aca="false">IF(K7="não", N7*(C$20+D$20),N7*(C$20+D$20)+(M7*+E$20))</f>
        <v>1950.42143925</v>
      </c>
      <c r="P7" s="67"/>
      <c r="Q7" s="22" t="str">
        <f aca="false">B7</f>
        <v>APS CORONEL VIVIDA</v>
      </c>
      <c r="R7" s="24" t="n">
        <f aca="false">H7*($C$20+$D$20)</f>
        <v>97.0358925</v>
      </c>
      <c r="S7" s="24" t="n">
        <f aca="false">I7*($C$20+$D$20)</f>
        <v>116.443071</v>
      </c>
      <c r="T7" s="24" t="n">
        <f aca="false">L7*($C$20+$D$20)</f>
        <v>106.73948175</v>
      </c>
      <c r="U7" s="24" t="n">
        <f aca="false">IF(K7="não",M7*($C$20+$D$20),M7*(C$20+D$20+E$20))</f>
        <v>106.73948175</v>
      </c>
      <c r="V7" s="24" t="n">
        <f aca="false">VLOOKUP(Q7,'Desl. Base Pato Branco'!$C$5:$S$14,13,FALSE())*($C$20+$D$20+$E$20*(VLOOKUP(Q7,'Desl. Base Pato Branco'!$C$5:$S$14,17,FALSE())/12))</f>
        <v>76.5505374166667</v>
      </c>
      <c r="W7" s="24" t="n">
        <f aca="false">VLOOKUP(Q7,'Desl. Base Pato Branco'!$C$5:$S$14,15,FALSE())*(2+(VLOOKUP(Q7,'Desl. Base Pato Branco'!$C$5:$S$14,17,FALSE())/12))</f>
        <v>0</v>
      </c>
      <c r="X7" s="24" t="n">
        <f aca="false">VLOOKUP(Q7,'Desl. Base Pato Branco'!$C$5:$Q$14,14,FALSE())</f>
        <v>0</v>
      </c>
      <c r="Y7" s="24" t="n">
        <f aca="false">VLOOKUP(Q7,'Desl. Base Pato Branco'!$C$5:Q$14,13,FALSE())*'Desl. Base Pato Branco'!$E$19+'Desl. Base Pato Branco'!$E$20*N7/12</f>
        <v>80.737</v>
      </c>
      <c r="Z7" s="24" t="n">
        <f aca="false">(H7/$AC$5)*'Equipe Técnica'!$C$13</f>
        <v>326.42785964693</v>
      </c>
      <c r="AA7" s="24" t="n">
        <f aca="false">(I7/$AC$5)*'Equipe Técnica'!$C$13</f>
        <v>391.713431576316</v>
      </c>
      <c r="AB7" s="24" t="n">
        <f aca="false">(L7/$AC$5)*'Equipe Técnica'!$C$13</f>
        <v>359.070645611623</v>
      </c>
      <c r="AC7" s="24" t="n">
        <f aca="false">(M7/$AC$5)*'Equipe Técnica'!$C$13</f>
        <v>359.070645611623</v>
      </c>
      <c r="AD7" s="24" t="n">
        <f aca="false">R7+(($V7+$W7+$X7+$Y7)*12/19)+$Z7</f>
        <v>522.80324946272</v>
      </c>
      <c r="AE7" s="24" t="n">
        <f aca="false">S7+(($V7+$W7+$X7+$Y7)*12/19)+$AA7</f>
        <v>607.495999892106</v>
      </c>
      <c r="AF7" s="24" t="n">
        <f aca="false">T7+(($V7+$W7+$X7+$Y7)*12/19)+$AB7</f>
        <v>565.149624677413</v>
      </c>
      <c r="AG7" s="24" t="n">
        <f aca="false">U7+(($V7+$W7+$X7+$Y7)*12/19)+$AC7</f>
        <v>565.149624677413</v>
      </c>
      <c r="AH7" s="146"/>
      <c r="AI7" s="22" t="str">
        <f aca="false">B7</f>
        <v>APS CORONEL VIVIDA</v>
      </c>
      <c r="AJ7" s="68" t="n">
        <f aca="false">VLOOKUP(AI7,Unidades!D$5:H$28,5,)</f>
        <v>0.2624</v>
      </c>
      <c r="AK7" s="48" t="n">
        <f aca="false">AD7*(1+$AJ7)</f>
        <v>659.986822121737</v>
      </c>
      <c r="AL7" s="48" t="n">
        <f aca="false">AE7*(1+$AJ7)</f>
        <v>766.902950263794</v>
      </c>
      <c r="AM7" s="48" t="n">
        <f aca="false">AF7*(1+$AJ7)</f>
        <v>713.444886192766</v>
      </c>
      <c r="AN7" s="48" t="n">
        <f aca="false">AG7*(1+$AJ7)</f>
        <v>713.444886192766</v>
      </c>
      <c r="AO7" s="48" t="n">
        <f aca="false">((AK7*12)+(AL7*4)+(AM7*2)+AN7)/12</f>
        <v>1093.98236042453</v>
      </c>
      <c r="AP7" s="48" t="n">
        <f aca="false">AO7*$AP$6</f>
        <v>2884.13531384648</v>
      </c>
      <c r="AQ7" s="48" t="n">
        <f aca="false">AO7+AP7</f>
        <v>3978.11767427101</v>
      </c>
      <c r="AR7" s="69"/>
      <c r="AS7" s="70" t="s">
        <v>82</v>
      </c>
      <c r="AT7" s="48" t="n">
        <f aca="false">AK17</f>
        <v>7324.19312440207</v>
      </c>
      <c r="AU7" s="48" t="n">
        <f aca="false">AL17</f>
        <v>8442.98718066594</v>
      </c>
      <c r="AV7" s="48" t="n">
        <f aca="false">AM17</f>
        <v>9976.63032481223</v>
      </c>
      <c r="AW7" s="48" t="n">
        <f aca="false">AN17</f>
        <v>13657.0286719542</v>
      </c>
    </row>
    <row r="8" customFormat="false" ht="15" hidden="false" customHeight="true" outlineLevel="0" collapsed="false">
      <c r="B8" s="22" t="s">
        <v>139</v>
      </c>
      <c r="C8" s="64" t="n">
        <f aca="false">VLOOKUP($B8,Unidades!$D$5:$N$28,6,FALSE())</f>
        <v>170</v>
      </c>
      <c r="D8" s="64" t="n">
        <f aca="false">VLOOKUP($B8,Unidades!$D$5:$N$28,7,FALSE())</f>
        <v>144.38</v>
      </c>
      <c r="E8" s="64" t="n">
        <f aca="false">VLOOKUP($B8,Unidades!$D$5:$N$28,8,FALSE())</f>
        <v>25.62</v>
      </c>
      <c r="F8" s="64" t="n">
        <f aca="false">VLOOKUP($B8,Unidades!$D$5:$N$28,9,FALSE())</f>
        <v>0</v>
      </c>
      <c r="G8" s="64" t="n">
        <f aca="false">D8+$E$6*E8+$F$6*F8</f>
        <v>153.347</v>
      </c>
      <c r="H8" s="65" t="n">
        <f aca="false">IF(G8&lt;750,1.5,IF(G8&lt;2000,2,IF(G8&lt;4000,3,12)))</f>
        <v>1.5</v>
      </c>
      <c r="I8" s="65" t="n">
        <f aca="false">$I$6*H8</f>
        <v>1.8</v>
      </c>
      <c r="J8" s="65" t="str">
        <f aca="false">VLOOKUP($B8,Unidades!$D$5:$N$28,10,FALSE())</f>
        <v>NÃO</v>
      </c>
      <c r="K8" s="65" t="str">
        <f aca="false">VLOOKUP($B8,Unidades!$D$5:$N$28,11,FALSE())</f>
        <v>NÃO</v>
      </c>
      <c r="L8" s="65" t="n">
        <f aca="false">$L$6*H8+(IF(J8="SIM",$J$6,0))</f>
        <v>1.65</v>
      </c>
      <c r="M8" s="65" t="n">
        <f aca="false">$M$6*H8+(IF(J8="SIM",$J$6,0))+(IF(K8="SIM",$K$6,0))</f>
        <v>1.65</v>
      </c>
      <c r="N8" s="65" t="n">
        <f aca="false">H8*12+I8*4+L8*2+M8</f>
        <v>30.15</v>
      </c>
      <c r="O8" s="66" t="n">
        <f aca="false">IF(K8="não", N8*(C$20+D$20),N8*(C$20+D$20)+(M8*+E$20))</f>
        <v>1950.42143925</v>
      </c>
      <c r="P8" s="67"/>
      <c r="Q8" s="22" t="str">
        <f aca="false">B8</f>
        <v>APS DOIS VIZINHOS</v>
      </c>
      <c r="R8" s="24" t="n">
        <f aca="false">H8*($C$20+$D$20)</f>
        <v>97.0358925</v>
      </c>
      <c r="S8" s="24" t="n">
        <f aca="false">I8*($C$20+$D$20)</f>
        <v>116.443071</v>
      </c>
      <c r="T8" s="24" t="n">
        <f aca="false">L8*($C$20+$D$20)</f>
        <v>106.73948175</v>
      </c>
      <c r="U8" s="24" t="n">
        <f aca="false">IF(K8="não",M8*($C$20+$D$20),M8*(C$20+D$20+E$20))</f>
        <v>106.73948175</v>
      </c>
      <c r="V8" s="24" t="n">
        <f aca="false">VLOOKUP(Q8,'Desl. Base Pato Branco'!$C$5:$S$14,13,FALSE())*($C$20+$D$20+$E$20*(VLOOKUP(Q8,'Desl. Base Pato Branco'!$C$5:$S$14,17,FALSE())/12))</f>
        <v>133.154808041667</v>
      </c>
      <c r="W8" s="24" t="n">
        <f aca="false">VLOOKUP(Q8,'Desl. Base Pato Branco'!$C$5:$S$14,15,FALSE())*(2+(VLOOKUP(Q8,'Desl. Base Pato Branco'!$C$5:$S$14,17,FALSE())/12))</f>
        <v>0</v>
      </c>
      <c r="X8" s="24" t="n">
        <f aca="false">VLOOKUP(Q8,'Desl. Base Pato Branco'!$C$5:$Q$14,14,FALSE())</f>
        <v>0</v>
      </c>
      <c r="Y8" s="24" t="n">
        <f aca="false">VLOOKUP(Q8,'Desl. Base Pato Branco'!$C$5:Q$14,13,FALSE())*'Desl. Base Pato Branco'!$E$19+'Desl. Base Pato Branco'!$E$20*N8/12</f>
        <v>128.2495</v>
      </c>
      <c r="Z8" s="24" t="n">
        <f aca="false">(H8/$AC$5)*'Equipe Técnica'!$C$13</f>
        <v>326.42785964693</v>
      </c>
      <c r="AA8" s="24" t="n">
        <f aca="false">(I8/$AC$5)*'Equipe Técnica'!$C$13</f>
        <v>391.713431576316</v>
      </c>
      <c r="AB8" s="24" t="n">
        <f aca="false">(L8/$AC$5)*'Equipe Técnica'!$C$13</f>
        <v>359.070645611623</v>
      </c>
      <c r="AC8" s="24" t="n">
        <f aca="false">(M8/$AC$5)*'Equipe Técnica'!$C$13</f>
        <v>359.070645611623</v>
      </c>
      <c r="AD8" s="24" t="n">
        <f aca="false">R8+(($V8+$W8+$X8+$Y8)*12/19)+$Z8</f>
        <v>588.561209857457</v>
      </c>
      <c r="AE8" s="24" t="n">
        <f aca="false">S8+(($V8+$W8+$X8+$Y8)*12/19)+$AA8</f>
        <v>673.253960286843</v>
      </c>
      <c r="AF8" s="24" t="n">
        <f aca="false">T8+(($V8+$W8+$X8+$Y8)*12/19)+$AB8</f>
        <v>630.90758507215</v>
      </c>
      <c r="AG8" s="24" t="n">
        <f aca="false">U8+(($V8+$W8+$X8+$Y8)*12/19)+$AC8</f>
        <v>630.90758507215</v>
      </c>
      <c r="AH8" s="146"/>
      <c r="AI8" s="22" t="str">
        <f aca="false">B8</f>
        <v>APS DOIS VIZINHOS</v>
      </c>
      <c r="AJ8" s="68" t="n">
        <f aca="false">VLOOKUP(AI8,Unidades!D$5:H$28,5,)</f>
        <v>0.2354</v>
      </c>
      <c r="AK8" s="48" t="n">
        <f aca="false">AD8*(1+$AJ8)</f>
        <v>727.108518657902</v>
      </c>
      <c r="AL8" s="48" t="n">
        <f aca="false">AE8*(1+$AJ8)</f>
        <v>831.737942538365</v>
      </c>
      <c r="AM8" s="48" t="n">
        <f aca="false">AF8*(1+$AJ8)</f>
        <v>779.423230598134</v>
      </c>
      <c r="AN8" s="48" t="n">
        <f aca="false">AG8*(1+$AJ8)</f>
        <v>779.423230598134</v>
      </c>
      <c r="AO8" s="48" t="n">
        <f aca="false">((AK8*12)+(AL8*4)+(AM8*2)+AN8)/12</f>
        <v>1199.21030715356</v>
      </c>
      <c r="AP8" s="48" t="n">
        <f aca="false">AO8*$AP$6</f>
        <v>3161.5544461321</v>
      </c>
      <c r="AQ8" s="48" t="n">
        <f aca="false">AO8+AP8</f>
        <v>4360.76475328566</v>
      </c>
      <c r="AR8" s="69"/>
      <c r="AS8" s="70" t="s">
        <v>84</v>
      </c>
      <c r="AT8" s="48" t="n">
        <f aca="false">AT7*12</f>
        <v>87890.3174928248</v>
      </c>
      <c r="AU8" s="48" t="n">
        <f aca="false">AU7*4</f>
        <v>33771.9487226637</v>
      </c>
      <c r="AV8" s="48" t="n">
        <f aca="false">AV7*2</f>
        <v>19953.2606496245</v>
      </c>
      <c r="AW8" s="48" t="n">
        <f aca="false">AW7</f>
        <v>13657.0286719542</v>
      </c>
    </row>
    <row r="9" customFormat="false" ht="15" hidden="false" customHeight="true" outlineLevel="0" collapsed="false">
      <c r="B9" s="22" t="s">
        <v>140</v>
      </c>
      <c r="C9" s="64" t="n">
        <f aca="false">VLOOKUP($B9,Unidades!$D$5:$N$28,6,FALSE())</f>
        <v>2008</v>
      </c>
      <c r="D9" s="64" t="n">
        <f aca="false">VLOOKUP($B9,Unidades!$D$5:$N$28,7,FALSE())</f>
        <v>1336.84</v>
      </c>
      <c r="E9" s="64" t="n">
        <f aca="false">VLOOKUP($B9,Unidades!$D$5:$N$28,8,FALSE())</f>
        <v>589.62</v>
      </c>
      <c r="F9" s="64" t="n">
        <f aca="false">VLOOKUP($B9,Unidades!$D$5:$N$28,9,FALSE())</f>
        <v>81.54</v>
      </c>
      <c r="G9" s="64" t="n">
        <f aca="false">D9+$E$6*E9+$F$6*F9</f>
        <v>1551.361</v>
      </c>
      <c r="H9" s="65" t="n">
        <f aca="false">IF(G9&lt;750,1.5,IF(G9&lt;2000,2,IF(G9&lt;4000,3,12)))</f>
        <v>2</v>
      </c>
      <c r="I9" s="65" t="n">
        <f aca="false">$I$6*H9</f>
        <v>2.4</v>
      </c>
      <c r="J9" s="65" t="str">
        <f aca="false">VLOOKUP($B9,Unidades!$D$5:$N$28,10,FALSE())</f>
        <v>SIM</v>
      </c>
      <c r="K9" s="65" t="str">
        <f aca="false">VLOOKUP($B9,Unidades!$D$5:$N$28,11,FALSE())</f>
        <v>SIM</v>
      </c>
      <c r="L9" s="65" t="n">
        <f aca="false">$L$6*H9+(IF(J9="SIM",$J$6,0))</f>
        <v>4.2</v>
      </c>
      <c r="M9" s="65" t="n">
        <f aca="false">$M$6*H9+(IF(J9="SIM",$J$6,0))+(IF(K9="SIM",$K$6,0))</f>
        <v>8.2</v>
      </c>
      <c r="N9" s="65" t="n">
        <f aca="false">H9*12+I9*4+L9*2+M9</f>
        <v>50.2</v>
      </c>
      <c r="O9" s="66" t="n">
        <f aca="false">IF(K9="não", N9*(C$20+D$20),N9*(C$20+D$20)+(M9*+E$20))</f>
        <v>3611.465869</v>
      </c>
      <c r="P9" s="67"/>
      <c r="Q9" s="22" t="str">
        <f aca="false">B9</f>
        <v>APS FRANCISCO BELTRÃO</v>
      </c>
      <c r="R9" s="24" t="n">
        <f aca="false">H9*($C$20+$D$20)</f>
        <v>129.38119</v>
      </c>
      <c r="S9" s="24" t="n">
        <f aca="false">I9*($C$20+$D$20)</f>
        <v>155.257428</v>
      </c>
      <c r="T9" s="24" t="n">
        <f aca="false">L9*($C$20+$D$20)</f>
        <v>271.700499</v>
      </c>
      <c r="U9" s="24" t="n">
        <f aca="false">IF(K9="não",M9*($C$20+$D$20),M9*(C$20+D$20+E$20))</f>
        <v>894.460879</v>
      </c>
      <c r="V9" s="24" t="n">
        <f aca="false">VLOOKUP(Q9,'Desl. Base Pato Branco'!$C$5:$S$14,13,FALSE())*($C$20+$D$20+$E$20*(VLOOKUP(Q9,'Desl. Base Pato Branco'!$C$5:$S$14,17,FALSE())/12))</f>
        <v>133.36003525</v>
      </c>
      <c r="W9" s="24" t="n">
        <f aca="false">VLOOKUP(Q9,'Desl. Base Pato Branco'!$C$5:$S$14,15,FALSE())*(2+(VLOOKUP(Q9,'Desl. Base Pato Branco'!$C$5:$S$14,17,FALSE())/12))</f>
        <v>0</v>
      </c>
      <c r="X9" s="24" t="n">
        <f aca="false">VLOOKUP(Q9,'Desl. Base Pato Branco'!$C$5:$Q$14,14,FALSE())</f>
        <v>0</v>
      </c>
      <c r="Y9" s="24" t="n">
        <f aca="false">VLOOKUP(Q9,'Desl. Base Pato Branco'!$C$5:Q$14,13,FALSE())*'Desl. Base Pato Branco'!$E$19+'Desl. Base Pato Branco'!$E$20*N9/12</f>
        <v>133.327666666667</v>
      </c>
      <c r="Z9" s="24" t="n">
        <f aca="false">(H9/$AC$5)*'Equipe Técnica'!$C$13</f>
        <v>435.237146195907</v>
      </c>
      <c r="AA9" s="24" t="n">
        <f aca="false">(I9/$AC$5)*'Equipe Técnica'!$C$13</f>
        <v>522.284575435088</v>
      </c>
      <c r="AB9" s="24" t="n">
        <f aca="false">(L9/$AC$5)*'Equipe Técnica'!$C$13</f>
        <v>913.998007011405</v>
      </c>
      <c r="AC9" s="24" t="n">
        <f aca="false">(M9/$AC$5)*'Equipe Técnica'!$C$13</f>
        <v>1784.47229940322</v>
      </c>
      <c r="AD9" s="24" t="n">
        <f aca="false">R9+(($V9+$W9+$X9+$Y9)*12/19)+$Z9</f>
        <v>733.052674248539</v>
      </c>
      <c r="AE9" s="24" t="n">
        <f aca="false">S9+(($V9+$W9+$X9+$Y9)*12/19)+$AA9</f>
        <v>845.97634148772</v>
      </c>
      <c r="AF9" s="24" t="n">
        <f aca="false">T9+(($V9+$W9+$X9+$Y9)*12/19)+$AB9</f>
        <v>1354.13284406404</v>
      </c>
      <c r="AG9" s="24" t="n">
        <f aca="false">U9+(($V9+$W9+$X9+$Y9)*12/19)+$AC9</f>
        <v>2847.36751645585</v>
      </c>
      <c r="AH9" s="146"/>
      <c r="AI9" s="22" t="str">
        <f aca="false">B9</f>
        <v>APS FRANCISCO BELTRÃO</v>
      </c>
      <c r="AJ9" s="68" t="n">
        <f aca="false">VLOOKUP(AI9,Unidades!D$5:H$28,5,)</f>
        <v>0.2624</v>
      </c>
      <c r="AK9" s="48" t="n">
        <f aca="false">AD9*(1+$AJ9)</f>
        <v>925.405695971355</v>
      </c>
      <c r="AL9" s="48" t="n">
        <f aca="false">AE9*(1+$AJ9)</f>
        <v>1067.9605334941</v>
      </c>
      <c r="AM9" s="48" t="n">
        <f aca="false">AF9*(1+$AJ9)</f>
        <v>1709.45730234644</v>
      </c>
      <c r="AN9" s="48" t="n">
        <f aca="false">AG9*(1+$AJ9)</f>
        <v>3594.51675277387</v>
      </c>
      <c r="AO9" s="48" t="n">
        <f aca="false">((AK9*12)+(AL9*4)+(AM9*2)+AN9)/12</f>
        <v>1865.84515359162</v>
      </c>
      <c r="AP9" s="48" t="n">
        <f aca="false">AO9*$AP$6</f>
        <v>4919.04631401426</v>
      </c>
      <c r="AQ9" s="48" t="n">
        <f aca="false">AO9+AP9</f>
        <v>6784.89146760588</v>
      </c>
      <c r="AR9" s="69"/>
      <c r="AS9" s="69"/>
      <c r="AT9" s="71"/>
      <c r="AU9" s="71"/>
      <c r="AV9" s="71"/>
      <c r="AW9" s="71"/>
    </row>
    <row r="10" customFormat="false" ht="15" hidden="false" customHeight="true" outlineLevel="0" collapsed="false">
      <c r="B10" s="22" t="s">
        <v>141</v>
      </c>
      <c r="C10" s="64" t="n">
        <f aca="false">VLOOKUP($B10,Unidades!$D$5:$N$28,6,FALSE())</f>
        <v>225.98</v>
      </c>
      <c r="D10" s="64" t="n">
        <f aca="false">VLOOKUP($B10,Unidades!$D$5:$N$28,7,FALSE())</f>
        <v>176.31</v>
      </c>
      <c r="E10" s="64" t="n">
        <f aca="false">VLOOKUP($B10,Unidades!$D$5:$N$28,8,FALSE())</f>
        <v>43.59</v>
      </c>
      <c r="F10" s="64" t="n">
        <f aca="false">VLOOKUP($B10,Unidades!$D$5:$N$28,9,FALSE())</f>
        <v>6.08</v>
      </c>
      <c r="G10" s="64" t="n">
        <f aca="false">D10+$E$6*E10+$F$6*F10</f>
        <v>192.1745</v>
      </c>
      <c r="H10" s="65" t="n">
        <f aca="false">IF(G10&lt;750,1.5,IF(G10&lt;2000,2,IF(G10&lt;4000,3,12)))</f>
        <v>1.5</v>
      </c>
      <c r="I10" s="65" t="n">
        <f aca="false">$I$6*H10</f>
        <v>1.8</v>
      </c>
      <c r="J10" s="65" t="str">
        <f aca="false">VLOOKUP($B10,Unidades!$D$5:$N$28,10,FALSE())</f>
        <v>NÃO</v>
      </c>
      <c r="K10" s="65" t="str">
        <f aca="false">VLOOKUP($B10,Unidades!$D$5:$N$28,11,FALSE())</f>
        <v>NÃO</v>
      </c>
      <c r="L10" s="65" t="n">
        <f aca="false">$L$6*H10+(IF(J10="SIM",$J$6,0))</f>
        <v>1.65</v>
      </c>
      <c r="M10" s="65" t="n">
        <f aca="false">$M$6*H10+(IF(J10="SIM",$J$6,0))+(IF(K10="SIM",$K$6,0))</f>
        <v>1.65</v>
      </c>
      <c r="N10" s="65" t="n">
        <f aca="false">H10*12+I10*4+L10*2+M10</f>
        <v>30.15</v>
      </c>
      <c r="O10" s="66" t="n">
        <f aca="false">IF(K10="não", N10*(C$20+D$20),N10*(C$20+D$20)+(M10*+E$20))</f>
        <v>1950.42143925</v>
      </c>
      <c r="P10" s="67"/>
      <c r="Q10" s="22" t="str">
        <f aca="false">B10</f>
        <v>APS MANGUEIRINHA</v>
      </c>
      <c r="R10" s="24" t="n">
        <f aca="false">H10*($C$20+$D$20)</f>
        <v>97.0358925</v>
      </c>
      <c r="S10" s="24" t="n">
        <f aca="false">I10*($C$20+$D$20)</f>
        <v>116.443071</v>
      </c>
      <c r="T10" s="24" t="n">
        <f aca="false">L10*($C$20+$D$20)</f>
        <v>106.73948175</v>
      </c>
      <c r="U10" s="24" t="n">
        <f aca="false">IF(K10="não",M10*($C$20+$D$20),M10*(C$20+D$20+E$20))</f>
        <v>106.73948175</v>
      </c>
      <c r="V10" s="24" t="n">
        <f aca="false">VLOOKUP(Q10,'Desl. Base Pato Branco'!$C$5:$S$14,13,FALSE())*($C$20+$D$20+$E$20*(VLOOKUP(Q10,'Desl. Base Pato Branco'!$C$5:$S$14,17,FALSE())/12))</f>
        <v>76.5505374166667</v>
      </c>
      <c r="W10" s="24" t="n">
        <f aca="false">VLOOKUP(Q10,'Desl. Base Pato Branco'!$C$5:$S$14,15,FALSE())*(2+(VLOOKUP(Q10,'Desl. Base Pato Branco'!$C$5:$S$14,17,FALSE())/12))</f>
        <v>0</v>
      </c>
      <c r="X10" s="24" t="n">
        <f aca="false">VLOOKUP(Q10,'Desl. Base Pato Branco'!$C$5:$Q$14,14,FALSE())</f>
        <v>0</v>
      </c>
      <c r="Y10" s="24" t="n">
        <f aca="false">VLOOKUP(Q10,'Desl. Base Pato Branco'!$C$5:Q$14,13,FALSE())*'Desl. Base Pato Branco'!$E$19+'Desl. Base Pato Branco'!$E$20*N10/12</f>
        <v>80.737</v>
      </c>
      <c r="Z10" s="24" t="n">
        <f aca="false">(H10/$AC$5)*'Equipe Técnica'!$C$13</f>
        <v>326.42785964693</v>
      </c>
      <c r="AA10" s="24" t="n">
        <f aca="false">(I10/$AC$5)*'Equipe Técnica'!$C$13</f>
        <v>391.713431576316</v>
      </c>
      <c r="AB10" s="24" t="n">
        <f aca="false">(L10/$AC$5)*'Equipe Técnica'!$C$13</f>
        <v>359.070645611623</v>
      </c>
      <c r="AC10" s="24" t="n">
        <f aca="false">(M10/$AC$5)*'Equipe Técnica'!$C$13</f>
        <v>359.070645611623</v>
      </c>
      <c r="AD10" s="24" t="n">
        <f aca="false">R10+(($V10+$W10+$X10+$Y10)*12/19)+$Z10</f>
        <v>522.80324946272</v>
      </c>
      <c r="AE10" s="24" t="n">
        <f aca="false">S10+(($V10+$W10+$X10+$Y10)*12/19)+$AA10</f>
        <v>607.495999892106</v>
      </c>
      <c r="AF10" s="24" t="n">
        <f aca="false">T10+(($V10+$W10+$X10+$Y10)*12/19)+$AB10</f>
        <v>565.149624677413</v>
      </c>
      <c r="AG10" s="24" t="n">
        <f aca="false">U10+(($V10+$W10+$X10+$Y10)*12/19)+$AC10</f>
        <v>565.149624677413</v>
      </c>
      <c r="AH10" s="146"/>
      <c r="AI10" s="22" t="str">
        <f aca="false">B10</f>
        <v>APS MANGUEIRINHA</v>
      </c>
      <c r="AJ10" s="68" t="n">
        <f aca="false">VLOOKUP(AI10,Unidades!D$5:H$28,5,)</f>
        <v>0.2354</v>
      </c>
      <c r="AK10" s="48" t="n">
        <f aca="false">AD10*(1+$AJ10)</f>
        <v>645.871134386244</v>
      </c>
      <c r="AL10" s="48" t="n">
        <f aca="false">AE10*(1+$AJ10)</f>
        <v>750.500558266707</v>
      </c>
      <c r="AM10" s="48" t="n">
        <f aca="false">AF10*(1+$AJ10)</f>
        <v>698.185846326476</v>
      </c>
      <c r="AN10" s="48" t="n">
        <f aca="false">AG10*(1+$AJ10)</f>
        <v>698.185846326476</v>
      </c>
      <c r="AO10" s="48" t="n">
        <f aca="false">((AK10*12)+(AL10*4)+(AM10*2)+AN10)/12</f>
        <v>1070.58444872343</v>
      </c>
      <c r="AP10" s="48" t="n">
        <f aca="false">AO10*$AP$6</f>
        <v>2822.44991027087</v>
      </c>
      <c r="AQ10" s="48" t="n">
        <f aca="false">AO10+AP10</f>
        <v>3893.0343589943</v>
      </c>
      <c r="AR10" s="69"/>
      <c r="AS10" s="72" t="s">
        <v>72</v>
      </c>
      <c r="AT10" s="48" t="n">
        <f aca="false">(SUM(AT8:AW8))/12</f>
        <v>12939.3796280889</v>
      </c>
      <c r="AU10" s="48"/>
      <c r="AV10" s="71"/>
      <c r="AW10" s="71"/>
    </row>
    <row r="11" customFormat="false" ht="15" hidden="false" customHeight="true" outlineLevel="0" collapsed="false">
      <c r="B11" s="22" t="s">
        <v>142</v>
      </c>
      <c r="C11" s="64" t="n">
        <f aca="false">VLOOKUP($B11,Unidades!$D$5:$N$28,6,FALSE())</f>
        <v>344.88</v>
      </c>
      <c r="D11" s="64" t="n">
        <f aca="false">VLOOKUP($B11,Unidades!$D$5:$N$28,7,FALSE())</f>
        <v>297.31</v>
      </c>
      <c r="E11" s="64" t="n">
        <f aca="false">VLOOKUP($B11,Unidades!$D$5:$N$28,8,FALSE())</f>
        <v>47.57</v>
      </c>
      <c r="F11" s="64" t="n">
        <f aca="false">VLOOKUP($B11,Unidades!$D$5:$N$28,9,FALSE())</f>
        <v>0</v>
      </c>
      <c r="G11" s="64" t="n">
        <f aca="false">D11+$E$6*E11+$F$6*F11</f>
        <v>313.9595</v>
      </c>
      <c r="H11" s="65" t="n">
        <f aca="false">IF(G11&lt;750,1.5,IF(G11&lt;2000,2,IF(G11&lt;4000,3,12)))</f>
        <v>1.5</v>
      </c>
      <c r="I11" s="65" t="n">
        <f aca="false">$I$6*H11</f>
        <v>1.8</v>
      </c>
      <c r="J11" s="65" t="str">
        <f aca="false">VLOOKUP($B11,Unidades!$D$5:$N$28,10,FALSE())</f>
        <v>NÃO</v>
      </c>
      <c r="K11" s="65" t="str">
        <f aca="false">VLOOKUP($B11,Unidades!$D$5:$N$28,11,FALSE())</f>
        <v>NÃO</v>
      </c>
      <c r="L11" s="65" t="n">
        <f aca="false">$L$6*H11+(IF(J11="SIM",$J$6,0))</f>
        <v>1.65</v>
      </c>
      <c r="M11" s="65" t="n">
        <f aca="false">$M$6*H11+(IF(J11="SIM",$J$6,0))+(IF(K11="SIM",$K$6,0))</f>
        <v>1.65</v>
      </c>
      <c r="N11" s="65" t="n">
        <f aca="false">H11*12+I11*4+L11*2+M11</f>
        <v>30.15</v>
      </c>
      <c r="O11" s="66" t="n">
        <f aca="false">IF(K11="não", N11*(C$20+D$20),N11*(C$20+D$20)+(M11*+E$20))</f>
        <v>1950.42143925</v>
      </c>
      <c r="P11" s="67"/>
      <c r="Q11" s="22" t="str">
        <f aca="false">B11</f>
        <v>APS PALMAS</v>
      </c>
      <c r="R11" s="24" t="n">
        <f aca="false">H11*($C$20+$D$20)</f>
        <v>97.0358925</v>
      </c>
      <c r="S11" s="24" t="n">
        <f aca="false">I11*($C$20+$D$20)</f>
        <v>116.443071</v>
      </c>
      <c r="T11" s="24" t="n">
        <f aca="false">L11*($C$20+$D$20)</f>
        <v>106.73948175</v>
      </c>
      <c r="U11" s="24" t="n">
        <f aca="false">IF(K11="não",M11*($C$20+$D$20),M11*(C$20+D$20+E$20))</f>
        <v>106.73948175</v>
      </c>
      <c r="V11" s="24" t="n">
        <f aca="false">VLOOKUP(Q11,'Desl. Base Pato Branco'!$C$5:$S$14,13,FALSE())*($C$20+$D$20+$E$20*(VLOOKUP(Q11,'Desl. Base Pato Branco'!$C$5:$S$14,17,FALSE())/12))</f>
        <v>177.89913625</v>
      </c>
      <c r="W11" s="24" t="n">
        <f aca="false">VLOOKUP(Q11,'Desl. Base Pato Branco'!$C$5:$S$14,15,FALSE())*(2+(VLOOKUP(Q11,'Desl. Base Pato Branco'!$C$5:$S$14,17,FALSE())/12))</f>
        <v>0</v>
      </c>
      <c r="X11" s="24" t="n">
        <f aca="false">VLOOKUP(Q11,'Desl. Base Pato Branco'!$C$5:$Q$14,14,FALSE())</f>
        <v>0</v>
      </c>
      <c r="Y11" s="24" t="n">
        <f aca="false">VLOOKUP(Q11,'Desl. Base Pato Branco'!$C$5:Q$14,13,FALSE())*'Desl. Base Pato Branco'!$E$19+'Desl. Base Pato Branco'!$E$20*N11/12</f>
        <v>165.807</v>
      </c>
      <c r="Z11" s="24" t="n">
        <f aca="false">(H11/$AC$5)*'Equipe Técnica'!$C$13</f>
        <v>326.42785964693</v>
      </c>
      <c r="AA11" s="24" t="n">
        <f aca="false">(I11/$AC$5)*'Equipe Técnica'!$C$13</f>
        <v>391.713431576316</v>
      </c>
      <c r="AB11" s="24" t="n">
        <f aca="false">(L11/$AC$5)*'Equipe Técnica'!$C$13</f>
        <v>359.070645611623</v>
      </c>
      <c r="AC11" s="24" t="n">
        <f aca="false">(M11/$AC$5)*'Equipe Técnica'!$C$13</f>
        <v>359.070645611623</v>
      </c>
      <c r="AD11" s="24" t="n">
        <f aca="false">R11+(($V11+$W11+$X11+$Y11)*12/19)+$Z11</f>
        <v>640.541311883772</v>
      </c>
      <c r="AE11" s="24" t="n">
        <f aca="false">S11+(($V11+$W11+$X11+$Y11)*12/19)+$AA11</f>
        <v>725.234062313158</v>
      </c>
      <c r="AF11" s="24" t="n">
        <f aca="false">T11+(($V11+$W11+$X11+$Y11)*12/19)+$AB11</f>
        <v>682.887687098465</v>
      </c>
      <c r="AG11" s="24" t="n">
        <f aca="false">U11+(($V11+$W11+$X11+$Y11)*12/19)+$AC11</f>
        <v>682.887687098465</v>
      </c>
      <c r="AH11" s="146"/>
      <c r="AI11" s="22" t="str">
        <f aca="false">B11</f>
        <v>APS PALMAS</v>
      </c>
      <c r="AJ11" s="68" t="n">
        <f aca="false">VLOOKUP(AI11,Unidades!D$5:H$28,5,)</f>
        <v>0.2354</v>
      </c>
      <c r="AK11" s="48" t="n">
        <f aca="false">AD11*(1+$AJ11)</f>
        <v>791.324736701212</v>
      </c>
      <c r="AL11" s="48" t="n">
        <f aca="false">AE11*(1+$AJ11)</f>
        <v>895.954160581676</v>
      </c>
      <c r="AM11" s="48" t="n">
        <f aca="false">AF11*(1+$AJ11)</f>
        <v>843.639448641444</v>
      </c>
      <c r="AN11" s="48" t="n">
        <f aca="false">AG11*(1+$AJ11)</f>
        <v>843.639448641444</v>
      </c>
      <c r="AO11" s="48" t="n">
        <f aca="false">((AK11*12)+(AL11*4)+(AM11*2)+AN11)/12</f>
        <v>1300.88598572213</v>
      </c>
      <c r="AP11" s="48" t="n">
        <f aca="false">AO11*$AP$6</f>
        <v>3429.60850781289</v>
      </c>
      <c r="AQ11" s="48" t="n">
        <f aca="false">AO11+AP11</f>
        <v>4730.49449353503</v>
      </c>
      <c r="AR11" s="69"/>
      <c r="AS11" s="72" t="s">
        <v>88</v>
      </c>
      <c r="AT11" s="48" t="n">
        <f aca="false">AT10*12</f>
        <v>155272.555537067</v>
      </c>
      <c r="AU11" s="48"/>
      <c r="AV11" s="71"/>
      <c r="AW11" s="71"/>
    </row>
    <row r="12" customFormat="false" ht="15" hidden="false" customHeight="true" outlineLevel="0" collapsed="false">
      <c r="B12" s="22" t="s">
        <v>143</v>
      </c>
      <c r="C12" s="64" t="n">
        <f aca="false">VLOOKUP($B12,Unidades!$D$5:$N$28,6,FALSE())</f>
        <v>2008</v>
      </c>
      <c r="D12" s="64" t="n">
        <f aca="false">VLOOKUP($B12,Unidades!$D$5:$N$28,7,FALSE())</f>
        <v>1400.93</v>
      </c>
      <c r="E12" s="64" t="n">
        <f aca="false">VLOOKUP($B12,Unidades!$D$5:$N$28,8,FALSE())</f>
        <v>459.75</v>
      </c>
      <c r="F12" s="64" t="n">
        <f aca="false">VLOOKUP($B12,Unidades!$D$5:$N$28,9,FALSE())</f>
        <v>147.32</v>
      </c>
      <c r="G12" s="64" t="n">
        <f aca="false">D12+$E$6*E12+$F$6*F12</f>
        <v>1576.5745</v>
      </c>
      <c r="H12" s="65" t="n">
        <f aca="false">IF(G12&lt;750,1.5,IF(G12&lt;2000,2,IF(G12&lt;4000,3,12)))</f>
        <v>2</v>
      </c>
      <c r="I12" s="65" t="n">
        <f aca="false">$I$6*H12</f>
        <v>2.4</v>
      </c>
      <c r="J12" s="65" t="str">
        <f aca="false">VLOOKUP($B12,Unidades!$D$5:$N$28,10,FALSE())</f>
        <v>SIM</v>
      </c>
      <c r="K12" s="65" t="str">
        <f aca="false">VLOOKUP($B12,Unidades!$D$5:$N$28,11,FALSE())</f>
        <v>NÃO</v>
      </c>
      <c r="L12" s="65" t="n">
        <f aca="false">$L$6*H12+(IF(J12="SIM",$J$6,0))</f>
        <v>4.2</v>
      </c>
      <c r="M12" s="65" t="n">
        <f aca="false">$M$6*H12+(IF(J12="SIM",$J$6,0))+(IF(K12="SIM",$K$6,0))</f>
        <v>4.2</v>
      </c>
      <c r="N12" s="65" t="n">
        <f aca="false">H12*12+I12*4+L12*2+M12</f>
        <v>46.2</v>
      </c>
      <c r="O12" s="66" t="n">
        <f aca="false">IF(K12="não", N12*(C$20+D$20),N12*(C$20+D$20)+(M12*+E$20))</f>
        <v>2988.705489</v>
      </c>
      <c r="P12" s="67"/>
      <c r="Q12" s="22" t="str">
        <f aca="false">B12</f>
        <v>APS PATO BRANCO</v>
      </c>
      <c r="R12" s="24" t="n">
        <f aca="false">H12*($C$20+$D$20)</f>
        <v>129.38119</v>
      </c>
      <c r="S12" s="24" t="n">
        <f aca="false">I12*($C$20+$D$20)</f>
        <v>155.257428</v>
      </c>
      <c r="T12" s="24" t="n">
        <f aca="false">L12*($C$20+$D$20)</f>
        <v>271.700499</v>
      </c>
      <c r="U12" s="24" t="n">
        <f aca="false">IF(K12="não",M12*($C$20+$D$20),M12*(C$20+D$20+E$20))</f>
        <v>271.700499</v>
      </c>
      <c r="V12" s="24" t="n">
        <f aca="false">VLOOKUP(Q12,'Desl. Base Pato Branco'!$C$5:$S$14,13,FALSE())*($C$20+$D$20+$E$20*(VLOOKUP(Q12,'Desl. Base Pato Branco'!$C$5:$S$14,17,FALSE())/12))</f>
        <v>36.4745395555556</v>
      </c>
      <c r="W12" s="24" t="n">
        <f aca="false">VLOOKUP(Q12,'Desl. Base Pato Branco'!$C$5:$S$14,15,FALSE())*(2+(VLOOKUP(Q12,'Desl. Base Pato Branco'!$C$5:$S$14,17,FALSE())/12))</f>
        <v>0</v>
      </c>
      <c r="X12" s="24" t="n">
        <f aca="false">VLOOKUP(Q12,'Desl. Base Pato Branco'!$C$5:$Q$14,14,FALSE())</f>
        <v>0</v>
      </c>
      <c r="Y12" s="24" t="n">
        <f aca="false">VLOOKUP(Q12,'Desl. Base Pato Branco'!$C$5:Q$14,13,FALSE())*'Desl. Base Pato Branco'!$E$19+'Desl. Base Pato Branco'!$E$20*N12/12</f>
        <v>54.216</v>
      </c>
      <c r="Z12" s="24" t="n">
        <f aca="false">(H12/$AC$5)*'Equipe Técnica'!$C$13</f>
        <v>435.237146195907</v>
      </c>
      <c r="AA12" s="24" t="n">
        <f aca="false">(I12/$AC$5)*'Equipe Técnica'!$C$13</f>
        <v>522.284575435088</v>
      </c>
      <c r="AB12" s="24" t="n">
        <f aca="false">(L12/$AC$5)*'Equipe Técnica'!$C$13</f>
        <v>913.998007011405</v>
      </c>
      <c r="AC12" s="24" t="n">
        <f aca="false">(M12/$AC$5)*'Equipe Técnica'!$C$13</f>
        <v>913.998007011405</v>
      </c>
      <c r="AD12" s="24" t="n">
        <f aca="false">R12+(($V12+$W12+$X12+$Y12)*12/19)+$Z12</f>
        <v>621.896571704679</v>
      </c>
      <c r="AE12" s="24" t="n">
        <f aca="false">S12+(($V12+$W12+$X12+$Y12)*12/19)+$AA12</f>
        <v>734.82023894386</v>
      </c>
      <c r="AF12" s="24" t="n">
        <f aca="false">T12+(($V12+$W12+$X12+$Y12)*12/19)+$AB12</f>
        <v>1242.97674152018</v>
      </c>
      <c r="AG12" s="24" t="n">
        <f aca="false">U12+(($V12+$W12+$X12+$Y12)*12/19)+$AC12</f>
        <v>1242.97674152018</v>
      </c>
      <c r="AH12" s="146"/>
      <c r="AI12" s="22" t="str">
        <f aca="false">B12</f>
        <v>APS PATO BRANCO</v>
      </c>
      <c r="AJ12" s="68" t="n">
        <f aca="false">VLOOKUP(AI12,Unidades!D$5:H$28,5,)</f>
        <v>0.2223</v>
      </c>
      <c r="AK12" s="48" t="n">
        <f aca="false">AD12*(1+$AJ12)</f>
        <v>760.144179594629</v>
      </c>
      <c r="AL12" s="48" t="n">
        <f aca="false">AE12*(1+$AJ12)</f>
        <v>898.17077806108</v>
      </c>
      <c r="AM12" s="48" t="n">
        <f aca="false">AF12*(1+$AJ12)</f>
        <v>1519.29047116011</v>
      </c>
      <c r="AN12" s="48" t="n">
        <f aca="false">AG12*(1+$AJ12)</f>
        <v>1519.29047116011</v>
      </c>
      <c r="AO12" s="48" t="n">
        <f aca="false">((AK12*12)+(AL12*4)+(AM12*2)+AN12)/12</f>
        <v>1439.35705673835</v>
      </c>
      <c r="AP12" s="48" t="n">
        <f aca="false">AO12*$AP$6</f>
        <v>3794.66860412838</v>
      </c>
      <c r="AQ12" s="48" t="n">
        <f aca="false">AO12+AP12</f>
        <v>5234.02566086673</v>
      </c>
      <c r="AR12" s="69"/>
      <c r="AS12" s="72" t="s">
        <v>73</v>
      </c>
      <c r="AT12" s="48" t="n">
        <f aca="false">AP17</f>
        <v>34112.9099285981</v>
      </c>
      <c r="AU12" s="48"/>
      <c r="AV12" s="69"/>
      <c r="AW12" s="69"/>
    </row>
    <row r="13" customFormat="false" ht="15" hidden="false" customHeight="true" outlineLevel="0" collapsed="false">
      <c r="B13" s="22" t="s">
        <v>144</v>
      </c>
      <c r="C13" s="64" t="n">
        <f aca="false">VLOOKUP($B13,Unidades!$D$5:$N$28,6,FALSE())</f>
        <v>549</v>
      </c>
      <c r="D13" s="64" t="n">
        <f aca="false">VLOOKUP($B13,Unidades!$D$5:$N$28,7,FALSE())</f>
        <v>314.44</v>
      </c>
      <c r="E13" s="64" t="n">
        <f aca="false">VLOOKUP($B13,Unidades!$D$5:$N$28,8,FALSE())</f>
        <v>18.27</v>
      </c>
      <c r="F13" s="64" t="n">
        <f aca="false">VLOOKUP($B13,Unidades!$D$5:$N$28,9,FALSE())</f>
        <v>216.29</v>
      </c>
      <c r="G13" s="64" t="n">
        <f aca="false">D13+$E$6*E13+$F$6*F13</f>
        <v>342.4635</v>
      </c>
      <c r="H13" s="65" t="n">
        <f aca="false">IF(G13&lt;750,1.5,IF(G13&lt;2000,2,IF(G13&lt;4000,3,12)))</f>
        <v>1.5</v>
      </c>
      <c r="I13" s="65" t="n">
        <f aca="false">$I$6*H13</f>
        <v>1.8</v>
      </c>
      <c r="J13" s="65" t="str">
        <f aca="false">VLOOKUP($B13,Unidades!$D$5:$N$28,10,FALSE())</f>
        <v>NÃO</v>
      </c>
      <c r="K13" s="65" t="str">
        <f aca="false">VLOOKUP($B13,Unidades!$D$5:$N$28,11,FALSE())</f>
        <v>NÃO</v>
      </c>
      <c r="L13" s="65" t="n">
        <f aca="false">$L$6*H13+(IF(J13="SIM",$J$6,0))</f>
        <v>1.65</v>
      </c>
      <c r="M13" s="65" t="n">
        <f aca="false">$M$6*H13+(IF(J13="SIM",$J$6,0))+(IF(K13="SIM",$K$6,0))</f>
        <v>1.65</v>
      </c>
      <c r="N13" s="65" t="n">
        <f aca="false">H13*12+I13*4+L13*2+M13</f>
        <v>30.15</v>
      </c>
      <c r="O13" s="66" t="n">
        <f aca="false">IF(K13="não", N13*(C$20+D$20),N13*(C$20+D$20)+(M13*+E$20))</f>
        <v>1950.42143925</v>
      </c>
      <c r="P13" s="67"/>
      <c r="Q13" s="22" t="str">
        <f aca="false">B13</f>
        <v>APS REALEZA</v>
      </c>
      <c r="R13" s="24" t="n">
        <f aca="false">H13*($C$20+$D$20)</f>
        <v>97.0358925</v>
      </c>
      <c r="S13" s="24" t="n">
        <f aca="false">I13*($C$20+$D$20)</f>
        <v>116.443071</v>
      </c>
      <c r="T13" s="24" t="n">
        <f aca="false">L13*($C$20+$D$20)</f>
        <v>106.73948175</v>
      </c>
      <c r="U13" s="24" t="n">
        <f aca="false">IF(K13="não",M13*($C$20+$D$20),M13*(C$20+D$20+E$20))</f>
        <v>106.73948175</v>
      </c>
      <c r="V13" s="24" t="n">
        <f aca="false">VLOOKUP(Q13,'Desl. Base Pato Branco'!$C$5:$S$14,13,FALSE())*($C$20+$D$20+$E$20*(VLOOKUP(Q13,'Desl. Base Pato Branco'!$C$5:$S$14,17,FALSE())/12))</f>
        <v>133.154808041667</v>
      </c>
      <c r="W13" s="24" t="n">
        <f aca="false">VLOOKUP(Q13,'Desl. Base Pato Branco'!$C$5:$S$14,15,FALSE())*(2+(VLOOKUP(Q13,'Desl. Base Pato Branco'!$C$5:$S$14,17,FALSE())/12))</f>
        <v>0</v>
      </c>
      <c r="X13" s="24" t="n">
        <f aca="false">VLOOKUP(Q13,'Desl. Base Pato Branco'!$C$5:$Q$14,14,FALSE())</f>
        <v>0</v>
      </c>
      <c r="Y13" s="24" t="n">
        <f aca="false">VLOOKUP(Q13,'Desl. Base Pato Branco'!$C$5:Q$14,13,FALSE())*'Desl. Base Pato Branco'!$E$19+'Desl. Base Pato Branco'!$E$20*N13/12</f>
        <v>128.2495</v>
      </c>
      <c r="Z13" s="24" t="n">
        <f aca="false">(H13/$AC$5)*'Equipe Técnica'!$C$13</f>
        <v>326.42785964693</v>
      </c>
      <c r="AA13" s="24" t="n">
        <f aca="false">(I13/$AC$5)*'Equipe Técnica'!$C$13</f>
        <v>391.713431576316</v>
      </c>
      <c r="AB13" s="24" t="n">
        <f aca="false">(L13/$AC$5)*'Equipe Técnica'!$C$13</f>
        <v>359.070645611623</v>
      </c>
      <c r="AC13" s="24" t="n">
        <f aca="false">(M13/$AC$5)*'Equipe Técnica'!$C$13</f>
        <v>359.070645611623</v>
      </c>
      <c r="AD13" s="24" t="n">
        <f aca="false">R13+(($V13+$W13+$X13+$Y13)*12/19)+$Z13</f>
        <v>588.561209857457</v>
      </c>
      <c r="AE13" s="24" t="n">
        <f aca="false">S13+(($V13+$W13+$X13+$Y13)*12/19)+$AA13</f>
        <v>673.253960286843</v>
      </c>
      <c r="AF13" s="24" t="n">
        <f aca="false">T13+(($V13+$W13+$X13+$Y13)*12/19)+$AB13</f>
        <v>630.90758507215</v>
      </c>
      <c r="AG13" s="24" t="n">
        <f aca="false">U13+(($V13+$W13+$X13+$Y13)*12/19)+$AC13</f>
        <v>630.90758507215</v>
      </c>
      <c r="AH13" s="146"/>
      <c r="AI13" s="22" t="str">
        <f aca="false">B13</f>
        <v>APS REALEZA</v>
      </c>
      <c r="AJ13" s="68" t="n">
        <f aca="false">VLOOKUP(AI13,Unidades!D$5:H$28,5,)</f>
        <v>0.2354</v>
      </c>
      <c r="AK13" s="48" t="n">
        <f aca="false">AD13*(1+$AJ13)</f>
        <v>727.108518657902</v>
      </c>
      <c r="AL13" s="48" t="n">
        <f aca="false">AE13*(1+$AJ13)</f>
        <v>831.737942538365</v>
      </c>
      <c r="AM13" s="48" t="n">
        <f aca="false">AF13*(1+$AJ13)</f>
        <v>779.423230598134</v>
      </c>
      <c r="AN13" s="48" t="n">
        <f aca="false">AG13*(1+$AJ13)</f>
        <v>779.423230598134</v>
      </c>
      <c r="AO13" s="48" t="n">
        <f aca="false">((AK13*12)+(AL13*4)+(AM13*2)+AN13)/12</f>
        <v>1199.21030715356</v>
      </c>
      <c r="AP13" s="48" t="n">
        <f aca="false">AO13*$AP$6</f>
        <v>3161.5544461321</v>
      </c>
      <c r="AQ13" s="48" t="n">
        <f aca="false">AO13+AP13</f>
        <v>4360.76475328566</v>
      </c>
      <c r="AR13" s="69"/>
      <c r="AS13" s="72" t="s">
        <v>91</v>
      </c>
      <c r="AT13" s="48" t="n">
        <f aca="false">AT12*12</f>
        <v>409354.919143177</v>
      </c>
      <c r="AU13" s="48"/>
      <c r="AV13" s="71"/>
      <c r="AW13" s="71"/>
    </row>
    <row r="14" customFormat="false" ht="15" hidden="false" customHeight="true" outlineLevel="0" collapsed="false">
      <c r="B14" s="22" t="s">
        <v>145</v>
      </c>
      <c r="C14" s="64" t="n">
        <f aca="false">VLOOKUP($B14,Unidades!$D$5:$N$28,6,FALSE())</f>
        <v>373.64</v>
      </c>
      <c r="D14" s="64" t="n">
        <f aca="false">VLOOKUP($B14,Unidades!$D$5:$N$28,7,FALSE())</f>
        <v>293.1</v>
      </c>
      <c r="E14" s="64" t="n">
        <f aca="false">VLOOKUP($B14,Unidades!$D$5:$N$28,8,FALSE())</f>
        <v>80.54</v>
      </c>
      <c r="F14" s="64" t="n">
        <f aca="false">VLOOKUP($B14,Unidades!$D$5:$N$28,9,FALSE())</f>
        <v>0</v>
      </c>
      <c r="G14" s="64" t="n">
        <f aca="false">D14+$E$6*E14+$F$6*F14</f>
        <v>321.289</v>
      </c>
      <c r="H14" s="65" t="n">
        <f aca="false">IF(G14&lt;750,1.5,IF(G14&lt;2000,2,IF(G14&lt;4000,3,12)))</f>
        <v>1.5</v>
      </c>
      <c r="I14" s="65" t="n">
        <f aca="false">$I$6*H14</f>
        <v>1.8</v>
      </c>
      <c r="J14" s="65" t="str">
        <f aca="false">VLOOKUP($B14,Unidades!$D$5:$N$28,10,FALSE())</f>
        <v>NÃO</v>
      </c>
      <c r="K14" s="65" t="str">
        <f aca="false">VLOOKUP($B14,Unidades!$D$5:$N$28,11,FALSE())</f>
        <v>NÃO</v>
      </c>
      <c r="L14" s="65" t="n">
        <f aca="false">$L$6*H14+(IF(J14="SIM",$J$6,0))</f>
        <v>1.65</v>
      </c>
      <c r="M14" s="65" t="n">
        <f aca="false">$M$6*H14+(IF(J14="SIM",$J$6,0))+(IF(K14="SIM",$K$6,0))</f>
        <v>1.65</v>
      </c>
      <c r="N14" s="65" t="n">
        <f aca="false">H14*12+I14*4+L14*2+M14</f>
        <v>30.15</v>
      </c>
      <c r="O14" s="66" t="n">
        <f aca="false">IF(K14="não", N14*(C$20+D$20),N14*(C$20+D$20)+(M14*+E$20))</f>
        <v>1950.42143925</v>
      </c>
      <c r="P14" s="67"/>
      <c r="Q14" s="22" t="str">
        <f aca="false">B14</f>
        <v>APS STO. ANTÔNIO DO SUDOESTE</v>
      </c>
      <c r="R14" s="24" t="n">
        <f aca="false">H14*($C$20+$D$20)</f>
        <v>97.0358925</v>
      </c>
      <c r="S14" s="24" t="n">
        <f aca="false">I14*($C$20+$D$20)</f>
        <v>116.443071</v>
      </c>
      <c r="T14" s="24" t="n">
        <f aca="false">L14*($C$20+$D$20)</f>
        <v>106.73948175</v>
      </c>
      <c r="U14" s="24" t="n">
        <f aca="false">IF(K14="não",M14*($C$20+$D$20),M14*(C$20+D$20+E$20))</f>
        <v>106.73948175</v>
      </c>
      <c r="V14" s="24" t="n">
        <f aca="false">VLOOKUP(Q14,'Desl. Base Pato Branco'!$C$5:$S$14,13,FALSE())*($C$20+$D$20+$E$20*(VLOOKUP(Q14,'Desl. Base Pato Branco'!$C$5:$S$14,17,FALSE())/12))</f>
        <v>149.866545083333</v>
      </c>
      <c r="W14" s="24" t="n">
        <f aca="false">VLOOKUP(Q14,'Desl. Base Pato Branco'!$C$5:$S$14,15,FALSE())*(2+(VLOOKUP(Q14,'Desl. Base Pato Branco'!$C$5:$S$14,17,FALSE())/12))</f>
        <v>0</v>
      </c>
      <c r="X14" s="24" t="n">
        <f aca="false">VLOOKUP(Q14,'Desl. Base Pato Branco'!$C$5:$Q$14,14,FALSE())</f>
        <v>0</v>
      </c>
      <c r="Y14" s="24" t="n">
        <f aca="false">VLOOKUP(Q14,'Desl. Base Pato Branco'!$C$5:Q$14,13,FALSE())*'Desl. Base Pato Branco'!$E$19+'Desl. Base Pato Branco'!$E$20*N14/12</f>
        <v>142.277</v>
      </c>
      <c r="Z14" s="24" t="n">
        <f aca="false">(H14/$AC$5)*'Equipe Técnica'!$C$13</f>
        <v>326.42785964693</v>
      </c>
      <c r="AA14" s="24" t="n">
        <f aca="false">(I14/$AC$5)*'Equipe Técnica'!$C$13</f>
        <v>391.713431576316</v>
      </c>
      <c r="AB14" s="24" t="n">
        <f aca="false">(L14/$AC$5)*'Equipe Técnica'!$C$13</f>
        <v>359.070645611623</v>
      </c>
      <c r="AC14" s="24" t="n">
        <f aca="false">(M14/$AC$5)*'Equipe Técnica'!$C$13</f>
        <v>359.070645611623</v>
      </c>
      <c r="AD14" s="24" t="n">
        <f aca="false">R14+(($V14+$W14+$X14+$Y14)*12/19)+$Z14</f>
        <v>607.975464831141</v>
      </c>
      <c r="AE14" s="24" t="n">
        <f aca="false">S14+(($V14+$W14+$X14+$Y14)*12/19)+$AA14</f>
        <v>692.668215260527</v>
      </c>
      <c r="AF14" s="24" t="n">
        <f aca="false">T14+(($V14+$W14+$X14+$Y14)*12/19)+$AB14</f>
        <v>650.321840045834</v>
      </c>
      <c r="AG14" s="24" t="n">
        <f aca="false">U14+(($V14+$W14+$X14+$Y14)*12/19)+$AC14</f>
        <v>650.321840045834</v>
      </c>
      <c r="AH14" s="146"/>
      <c r="AI14" s="22" t="str">
        <f aca="false">B14</f>
        <v>APS STO. ANTÔNIO DO SUDOESTE</v>
      </c>
      <c r="AJ14" s="68" t="n">
        <f aca="false">VLOOKUP(AI14,Unidades!D$5:H$28,5,)</f>
        <v>0.2354</v>
      </c>
      <c r="AK14" s="48" t="n">
        <f aca="false">AD14*(1+$AJ14)</f>
        <v>751.092889252391</v>
      </c>
      <c r="AL14" s="48" t="n">
        <f aca="false">AE14*(1+$AJ14)</f>
        <v>855.722313132855</v>
      </c>
      <c r="AM14" s="48" t="n">
        <f aca="false">AF14*(1+$AJ14)</f>
        <v>803.407601192623</v>
      </c>
      <c r="AN14" s="48" t="n">
        <f aca="false">AG14*(1+$AJ14)</f>
        <v>803.407601192623</v>
      </c>
      <c r="AO14" s="48" t="n">
        <f aca="false">((AK14*12)+(AL14*4)+(AM14*2)+AN14)/12</f>
        <v>1237.18556059483</v>
      </c>
      <c r="AP14" s="48" t="n">
        <f aca="false">AO14*$AP$6</f>
        <v>3261.67102338638</v>
      </c>
      <c r="AQ14" s="48" t="n">
        <f aca="false">AO14+AP14</f>
        <v>4498.85658398121</v>
      </c>
      <c r="AR14" s="69"/>
      <c r="AS14" s="72" t="s">
        <v>74</v>
      </c>
      <c r="AT14" s="48" t="n">
        <f aca="false">AT10+AT12</f>
        <v>47052.289556687</v>
      </c>
      <c r="AU14" s="48"/>
      <c r="AV14" s="71"/>
      <c r="AW14" s="71"/>
    </row>
    <row r="15" customFormat="false" ht="15" hidden="false" customHeight="true" outlineLevel="0" collapsed="false">
      <c r="B15" s="22" t="s">
        <v>146</v>
      </c>
      <c r="C15" s="64" t="n">
        <f aca="false">VLOOKUP($B15,Unidades!$D$5:$N$28,6,FALSE())</f>
        <v>334.4</v>
      </c>
      <c r="D15" s="64" t="n">
        <f aca="false">VLOOKUP($B15,Unidades!$D$5:$N$28,7,FALSE())</f>
        <v>296</v>
      </c>
      <c r="E15" s="64" t="n">
        <f aca="false">VLOOKUP($B15,Unidades!$D$5:$N$28,8,FALSE())</f>
        <v>38.4</v>
      </c>
      <c r="F15" s="64" t="n">
        <f aca="false">VLOOKUP($B15,Unidades!$D$5:$N$28,9,FALSE())</f>
        <v>0</v>
      </c>
      <c r="G15" s="64" t="n">
        <f aca="false">D15+$E$6*E15+$F$6*F15</f>
        <v>309.44</v>
      </c>
      <c r="H15" s="65" t="n">
        <f aca="false">IF(G15&lt;750,1.5,IF(G15&lt;2000,2,IF(G15&lt;4000,3,12)))</f>
        <v>1.5</v>
      </c>
      <c r="I15" s="65" t="n">
        <f aca="false">$I$6*H15</f>
        <v>1.8</v>
      </c>
      <c r="J15" s="65" t="str">
        <f aca="false">VLOOKUP($B15,Unidades!$D$5:$N$28,10,FALSE())</f>
        <v>NÃO</v>
      </c>
      <c r="K15" s="65" t="str">
        <f aca="false">VLOOKUP($B15,Unidades!$D$5:$N$28,11,FALSE())</f>
        <v>NÃO</v>
      </c>
      <c r="L15" s="65" t="n">
        <f aca="false">$L$6*H15+(IF(J15="SIM",$J$6,0))</f>
        <v>1.65</v>
      </c>
      <c r="M15" s="65" t="n">
        <f aca="false">$M$6*H15+(IF(J15="SIM",$J$6,0))+(IF(K15="SIM",$K$6,0))</f>
        <v>1.65</v>
      </c>
      <c r="N15" s="65" t="n">
        <f aca="false">H15*12+I15*4+L15*2+M15</f>
        <v>30.15</v>
      </c>
      <c r="O15" s="66" t="n">
        <f aca="false">IF(K15="não", N15*(C$20+D$20),N15*(C$20+D$20)+(M15*+E$20))</f>
        <v>1950.42143925</v>
      </c>
      <c r="P15" s="67"/>
      <c r="Q15" s="22" t="str">
        <f aca="false">B15</f>
        <v>APS DIONÍSIO CERQUEIRA</v>
      </c>
      <c r="R15" s="24" t="n">
        <f aca="false">H15*($C$20+$D$20)</f>
        <v>97.0358925</v>
      </c>
      <c r="S15" s="24" t="n">
        <f aca="false">I15*($C$20+$D$20)</f>
        <v>116.443071</v>
      </c>
      <c r="T15" s="24" t="n">
        <f aca="false">L15*($C$20+$D$20)</f>
        <v>106.73948175</v>
      </c>
      <c r="U15" s="24" t="n">
        <f aca="false">IF(K15="não",M15*($C$20+$D$20),M15*(C$20+D$20+E$20))</f>
        <v>106.73948175</v>
      </c>
      <c r="V15" s="24" t="n">
        <f aca="false">VLOOKUP(Q15,'Desl. Base Pato Branco'!$C$5:$S$14,13,FALSE())*($C$20+$D$20+$E$20*(VLOOKUP(Q15,'Desl. Base Pato Branco'!$C$5:$S$14,17,FALSE())/12))</f>
        <v>149.866545083333</v>
      </c>
      <c r="W15" s="24" t="n">
        <f aca="false">VLOOKUP(Q15,'Desl. Base Pato Branco'!$C$5:$S$14,15,FALSE())*(2+(VLOOKUP(Q15,'Desl. Base Pato Branco'!$C$5:$S$14,17,FALSE())/12))</f>
        <v>0</v>
      </c>
      <c r="X15" s="24" t="n">
        <f aca="false">VLOOKUP(Q15,'Desl. Base Pato Branco'!$C$5:$Q$14,14,FALSE())</f>
        <v>0</v>
      </c>
      <c r="Y15" s="24" t="n">
        <f aca="false">VLOOKUP(Q15,'Desl. Base Pato Branco'!$C$5:Q$14,13,FALSE())*'Desl. Base Pato Branco'!$E$19+'Desl. Base Pato Branco'!$E$20*N15/12</f>
        <v>142.277</v>
      </c>
      <c r="Z15" s="24" t="n">
        <f aca="false">(H15/$AC$5)*'Equipe Técnica'!$C$13</f>
        <v>326.42785964693</v>
      </c>
      <c r="AA15" s="24" t="n">
        <f aca="false">(I15/$AC$5)*'Equipe Técnica'!$C$13</f>
        <v>391.713431576316</v>
      </c>
      <c r="AB15" s="24" t="n">
        <f aca="false">(L15/$AC$5)*'Equipe Técnica'!$C$13</f>
        <v>359.070645611623</v>
      </c>
      <c r="AC15" s="24" t="n">
        <f aca="false">(M15/$AC$5)*'Equipe Técnica'!$C$13</f>
        <v>359.070645611623</v>
      </c>
      <c r="AD15" s="24" t="n">
        <f aca="false">R15+(($V15+$W15+$X15+$Y15)*12/19)+$Z15</f>
        <v>607.975464831141</v>
      </c>
      <c r="AE15" s="24" t="n">
        <f aca="false">S15+(($V15+$W15+$X15+$Y15)*12/19)+$AA15</f>
        <v>692.668215260527</v>
      </c>
      <c r="AF15" s="24" t="n">
        <f aca="false">T15+(($V15+$W15+$X15+$Y15)*12/19)+$AB15</f>
        <v>650.321840045834</v>
      </c>
      <c r="AG15" s="24" t="n">
        <f aca="false">U15+(($V15+$W15+$X15+$Y15)*12/19)+$AC15</f>
        <v>650.321840045834</v>
      </c>
      <c r="AH15" s="146"/>
      <c r="AI15" s="22" t="str">
        <f aca="false">B15</f>
        <v>APS DIONÍSIO CERQUEIRA</v>
      </c>
      <c r="AJ15" s="68" t="n">
        <f aca="false">VLOOKUP(AI15,Unidades!D$5:H$28,5,)</f>
        <v>0.2354</v>
      </c>
      <c r="AK15" s="48" t="n">
        <f aca="false">AD15*(1+$AJ15)</f>
        <v>751.092889252391</v>
      </c>
      <c r="AL15" s="48" t="n">
        <f aca="false">AE15*(1+$AJ15)</f>
        <v>855.722313132855</v>
      </c>
      <c r="AM15" s="48" t="n">
        <f aca="false">AF15*(1+$AJ15)</f>
        <v>803.407601192623</v>
      </c>
      <c r="AN15" s="48" t="n">
        <f aca="false">AG15*(1+$AJ15)</f>
        <v>803.407601192623</v>
      </c>
      <c r="AO15" s="48" t="n">
        <f aca="false">((AK15*12)+(AL15*4)+(AM15*2)+AN15)/12</f>
        <v>1237.18556059483</v>
      </c>
      <c r="AP15" s="48" t="n">
        <f aca="false">AO15*$AP$6</f>
        <v>3261.67102338638</v>
      </c>
      <c r="AQ15" s="48" t="n">
        <f aca="false">AO15+AP15</f>
        <v>4498.85658398121</v>
      </c>
      <c r="AR15" s="69"/>
      <c r="AS15" s="72" t="s">
        <v>94</v>
      </c>
      <c r="AT15" s="48" t="n">
        <f aca="false">AT11+AT13</f>
        <v>564627.474680244</v>
      </c>
      <c r="AU15" s="48"/>
      <c r="AV15" s="69"/>
      <c r="AW15" s="69"/>
    </row>
    <row r="16" customFormat="false" ht="15" hidden="false" customHeight="true" outlineLevel="0" collapsed="false">
      <c r="B16" s="22" t="s">
        <v>147</v>
      </c>
      <c r="C16" s="64" t="n">
        <f aca="false">VLOOKUP($B16,Unidades!$D$5:$N$28,6,FALSE())</f>
        <v>963</v>
      </c>
      <c r="D16" s="64" t="n">
        <f aca="false">VLOOKUP($B16,Unidades!$D$5:$N$28,7,FALSE())</f>
        <v>578</v>
      </c>
      <c r="E16" s="64" t="n">
        <f aca="false">VLOOKUP($B16,Unidades!$D$5:$N$28,8,FALSE())</f>
        <v>97</v>
      </c>
      <c r="F16" s="64" t="n">
        <f aca="false">VLOOKUP($B16,Unidades!$D$5:$N$28,9,FALSE())</f>
        <v>288</v>
      </c>
      <c r="G16" s="64" t="n">
        <f aca="false">D16+$E$6*E16+$F$6*F16</f>
        <v>640.75</v>
      </c>
      <c r="H16" s="65" t="n">
        <f aca="false">IF(G16&lt;750,1.5,IF(G16&lt;2000,2,IF(G16&lt;4000,3,12)))</f>
        <v>1.5</v>
      </c>
      <c r="I16" s="65" t="n">
        <f aca="false">$I$6*H16</f>
        <v>1.8</v>
      </c>
      <c r="J16" s="65" t="str">
        <f aca="false">VLOOKUP($B16,Unidades!$D$5:$N$28,10,FALSE())</f>
        <v>SIM</v>
      </c>
      <c r="K16" s="65" t="str">
        <f aca="false">VLOOKUP($B16,Unidades!$D$5:$N$28,11,FALSE())</f>
        <v>SIM</v>
      </c>
      <c r="L16" s="65" t="n">
        <f aca="false">$L$6*H16+(IF(J16="SIM",$J$6,0))</f>
        <v>3.65</v>
      </c>
      <c r="M16" s="65" t="n">
        <f aca="false">$M$6*H16+(IF(J16="SIM",$J$6,0))+(IF(K16="SIM",$K$6,0))</f>
        <v>7.65</v>
      </c>
      <c r="N16" s="65" t="n">
        <f aca="false">H16*12+I16*4+L16*2+M16</f>
        <v>40.15</v>
      </c>
      <c r="O16" s="66" t="n">
        <f aca="false">IF(K16="não", N16*(C$20+D$20),N16*(C$20+D$20)+(M16*+E$20))</f>
        <v>2936.91088925</v>
      </c>
      <c r="P16" s="67"/>
      <c r="Q16" s="22" t="str">
        <f aca="false">B16</f>
        <v>APS SÃO L. DO OESTE</v>
      </c>
      <c r="R16" s="24" t="n">
        <f aca="false">H16*($C$20+$D$20)</f>
        <v>97.0358925</v>
      </c>
      <c r="S16" s="24" t="n">
        <f aca="false">I16*($C$20+$D$20)</f>
        <v>116.443071</v>
      </c>
      <c r="T16" s="24" t="n">
        <f aca="false">L16*($C$20+$D$20)</f>
        <v>236.12067175</v>
      </c>
      <c r="U16" s="24" t="n">
        <f aca="false">IF(K16="não",M16*($C$20+$D$20),M16*(C$20+D$20+E$20))</f>
        <v>834.46655175</v>
      </c>
      <c r="V16" s="24" t="n">
        <f aca="false">VLOOKUP(Q16,'Desl. Base Pato Branco'!$C$5:$S$14,13,FALSE())*($C$20+$D$20+$E$20*(VLOOKUP(Q16,'Desl. Base Pato Branco'!$C$5:$S$14,17,FALSE())/12))</f>
        <v>36.4745395555556</v>
      </c>
      <c r="W16" s="24" t="n">
        <f aca="false">VLOOKUP(Q16,'Desl. Base Pato Branco'!$C$5:$S$14,15,FALSE())*(2+(VLOOKUP(Q16,'Desl. Base Pato Branco'!$C$5:$S$14,17,FALSE())/12))</f>
        <v>0</v>
      </c>
      <c r="X16" s="24" t="n">
        <f aca="false">VLOOKUP(Q16,'Desl. Base Pato Branco'!$C$5:$Q$14,14,FALSE())</f>
        <v>0</v>
      </c>
      <c r="Y16" s="24" t="n">
        <f aca="false">VLOOKUP(Q16,'Desl. Base Pato Branco'!$C$5:Q$14,13,FALSE())*'Desl. Base Pato Branco'!$E$19+'Desl. Base Pato Branco'!$E$20*N16/12</f>
        <v>50.9086666666667</v>
      </c>
      <c r="Z16" s="24" t="n">
        <f aca="false">(H16/$AC$5)*'Equipe Técnica'!$C$13</f>
        <v>326.42785964693</v>
      </c>
      <c r="AA16" s="24" t="n">
        <f aca="false">(I16/$AC$5)*'Equipe Técnica'!$C$13</f>
        <v>391.713431576316</v>
      </c>
      <c r="AB16" s="24" t="n">
        <f aca="false">(L16/$AC$5)*'Equipe Técnica'!$C$13</f>
        <v>794.30779180753</v>
      </c>
      <c r="AC16" s="24" t="n">
        <f aca="false">(M16/$AC$5)*'Equipe Técnica'!$C$13</f>
        <v>1664.78208419934</v>
      </c>
      <c r="AD16" s="24" t="n">
        <f aca="false">R16+(($V16+$W16+$X16+$Y16)*12/19)+$Z16</f>
        <v>478.653145550439</v>
      </c>
      <c r="AE16" s="24" t="n">
        <f aca="false">S16+(($V16+$W16+$X16+$Y16)*12/19)+$AA16</f>
        <v>563.345895979825</v>
      </c>
      <c r="AF16" s="24" t="n">
        <f aca="false">T16+(($V16+$W16+$X16+$Y16)*12/19)+$AB16</f>
        <v>1085.61785696104</v>
      </c>
      <c r="AG16" s="24" t="n">
        <f aca="false">U16+(($V16+$W16+$X16+$Y16)*12/19)+$AC16</f>
        <v>2554.43802935285</v>
      </c>
      <c r="AH16" s="146"/>
      <c r="AI16" s="22" t="str">
        <f aca="false">B16</f>
        <v>APS SÃO L. DO OESTE</v>
      </c>
      <c r="AJ16" s="68" t="n">
        <f aca="false">VLOOKUP(AI16,Unidades!D$5:H$28,5,)</f>
        <v>0.2223</v>
      </c>
      <c r="AK16" s="48" t="n">
        <f aca="false">AD16*(1+$AJ16)</f>
        <v>585.057739806302</v>
      </c>
      <c r="AL16" s="48" t="n">
        <f aca="false">AE16*(1+$AJ16)</f>
        <v>688.57768865614</v>
      </c>
      <c r="AM16" s="48" t="n">
        <f aca="false">AF16*(1+$AJ16)</f>
        <v>1326.95070656348</v>
      </c>
      <c r="AN16" s="48" t="n">
        <f aca="false">AG16*(1+$AJ16)</f>
        <v>3122.28960327799</v>
      </c>
      <c r="AO16" s="48" t="n">
        <f aca="false">((AK16*12)+(AL16*4)+(AM16*2)+AN16)/12</f>
        <v>1295.93288739209</v>
      </c>
      <c r="AP16" s="48" t="n">
        <f aca="false">AO16*$AP$6</f>
        <v>3416.55033948825</v>
      </c>
      <c r="AQ16" s="48" t="n">
        <f aca="false">AO16+AP16</f>
        <v>4712.48322688034</v>
      </c>
      <c r="AR16" s="69"/>
      <c r="AS16" s="69"/>
      <c r="AT16" s="69"/>
      <c r="AU16" s="69"/>
      <c r="AV16" s="69"/>
      <c r="AW16" s="69"/>
    </row>
    <row r="17" s="147" customFormat="true" ht="19.5" hidden="false" customHeight="true" outlineLevel="0" collapsed="false">
      <c r="B17" s="9" t="s">
        <v>100</v>
      </c>
      <c r="C17" s="73" t="n">
        <f aca="false">SUM(C7:C16)</f>
        <v>7311.3</v>
      </c>
      <c r="D17" s="73" t="n">
        <f aca="false">SUM(D7:D16)</f>
        <v>5133.31</v>
      </c>
      <c r="E17" s="73" t="n">
        <f aca="false">SUM(E7:E16)</f>
        <v>1438.76</v>
      </c>
      <c r="F17" s="73" t="n">
        <f aca="false">SUM(F7:F16)</f>
        <v>739.23</v>
      </c>
      <c r="G17" s="73" t="n">
        <f aca="false">SUM(G7:G16)</f>
        <v>5710.799</v>
      </c>
      <c r="H17" s="74" t="n">
        <f aca="false">SUM(H7:H16)</f>
        <v>16</v>
      </c>
      <c r="I17" s="74" t="n">
        <f aca="false">SUM(I7:I16)</f>
        <v>19.2</v>
      </c>
      <c r="J17" s="74" t="n">
        <f aca="false">COUNTIF(J7:J16,"SIM")</f>
        <v>3</v>
      </c>
      <c r="K17" s="74" t="n">
        <f aca="false">COUNTIF(K7:K16,"SIM")</f>
        <v>2</v>
      </c>
      <c r="L17" s="74" t="n">
        <f aca="false">SUM(L7:L16)</f>
        <v>23.6</v>
      </c>
      <c r="M17" s="74" t="n">
        <f aca="false">SUM(M7:M16)</f>
        <v>31.6</v>
      </c>
      <c r="N17" s="74" t="n">
        <f aca="false">SUM(N7:N16)</f>
        <v>347.6</v>
      </c>
      <c r="O17" s="75" t="n">
        <f aca="false">SUM(O7:O16)</f>
        <v>23190.032322</v>
      </c>
      <c r="P17" s="148"/>
      <c r="Q17" s="149" t="s">
        <v>100</v>
      </c>
      <c r="R17" s="77" t="n">
        <f aca="false">SUM(R7:R16)</f>
        <v>1035.04952</v>
      </c>
      <c r="S17" s="77" t="n">
        <f aca="false">SUM(S7:S16)</f>
        <v>1242.059424</v>
      </c>
      <c r="T17" s="77" t="n">
        <f aca="false">SUM(T7:T16)</f>
        <v>1526.698042</v>
      </c>
      <c r="U17" s="77" t="n">
        <f aca="false">SUM(U7:U16)</f>
        <v>2747.804302</v>
      </c>
      <c r="V17" s="77" t="n">
        <f aca="false">SUM(V7:V16)</f>
        <v>1103.35203169444</v>
      </c>
      <c r="W17" s="77" t="n">
        <f aca="false">SUM(W7:W16)</f>
        <v>0</v>
      </c>
      <c r="X17" s="77" t="n">
        <f aca="false">SUM(X7:X16)</f>
        <v>0</v>
      </c>
      <c r="Y17" s="77" t="n">
        <f aca="false">SUM(Y7:Y16)</f>
        <v>1106.78633333333</v>
      </c>
      <c r="Z17" s="77" t="n">
        <f aca="false">SUM(Z7:Z16)</f>
        <v>3481.89716956726</v>
      </c>
      <c r="AA17" s="77" t="n">
        <f aca="false">SUM(AA7:AA16)</f>
        <v>4178.27660348071</v>
      </c>
      <c r="AB17" s="77" t="n">
        <f aca="false">SUM(AB7:AB16)</f>
        <v>5135.7983251117</v>
      </c>
      <c r="AC17" s="77" t="n">
        <f aca="false">SUM(AC7:AC16)</f>
        <v>6876.74690989533</v>
      </c>
      <c r="AD17" s="77" t="n">
        <f aca="false">SUM(AD7:AD16)</f>
        <v>5912.82355169006</v>
      </c>
      <c r="AE17" s="77" t="n">
        <f aca="false">SUM(AE7:AE16)</f>
        <v>6816.21288960351</v>
      </c>
      <c r="AF17" s="77" t="n">
        <f aca="false">SUM(AF7:AF16)</f>
        <v>8058.37322923451</v>
      </c>
      <c r="AG17" s="77" t="n">
        <f aca="false">SUM(AG7:AG16)</f>
        <v>11020.4280740181</v>
      </c>
      <c r="AH17" s="39"/>
      <c r="AI17" s="74" t="s">
        <v>100</v>
      </c>
      <c r="AJ17" s="74"/>
      <c r="AK17" s="78" t="n">
        <f aca="false">SUM(AK7:AK16)</f>
        <v>7324.19312440207</v>
      </c>
      <c r="AL17" s="78" t="n">
        <f aca="false">SUM(AL7:AL16)</f>
        <v>8442.98718066594</v>
      </c>
      <c r="AM17" s="78" t="n">
        <f aca="false">SUM(AM7:AM16)</f>
        <v>9976.63032481223</v>
      </c>
      <c r="AN17" s="78" t="n">
        <f aca="false">SUM(AN7:AN16)</f>
        <v>13657.0286719542</v>
      </c>
      <c r="AO17" s="78" t="n">
        <f aca="false">SUM(AO7:AO16)</f>
        <v>12939.3796280889</v>
      </c>
      <c r="AP17" s="78" t="n">
        <f aca="false">SUM(AP7:AP16)</f>
        <v>34112.9099285981</v>
      </c>
      <c r="AQ17" s="78" t="n">
        <f aca="false">SUM(AQ7:AQ16)</f>
        <v>47052.289556687</v>
      </c>
      <c r="AR17" s="69"/>
      <c r="AS17" s="69"/>
      <c r="AT17" s="69"/>
      <c r="AU17" s="69"/>
      <c r="AV17" s="69"/>
      <c r="AW17" s="6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</row>
    <row r="18" customFormat="false" ht="18" hidden="false" customHeight="true" outlineLevel="0" collapsed="false">
      <c r="B18" s="2"/>
      <c r="C18" s="2"/>
      <c r="D18" s="2"/>
      <c r="E18" s="2"/>
      <c r="F18" s="2"/>
      <c r="G18" s="2"/>
      <c r="H18" s="79"/>
      <c r="I18" s="2"/>
      <c r="J18" s="2"/>
      <c r="O18" s="2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D18" s="56"/>
      <c r="AE18" s="56"/>
      <c r="AF18" s="56"/>
      <c r="AG18" s="56"/>
      <c r="AH18" s="56"/>
      <c r="AS18" s="150"/>
      <c r="AT18" s="150"/>
      <c r="AU18" s="150"/>
      <c r="AV18" s="150"/>
      <c r="AW18" s="150"/>
    </row>
    <row r="19" customFormat="false" ht="39.75" hidden="false" customHeight="true" outlineLevel="0" collapsed="false">
      <c r="B19" s="47" t="s">
        <v>30</v>
      </c>
      <c r="C19" s="81" t="str">
        <f aca="false">'Base Chapecó'!C23</f>
        <v>Oficial de Manutenção Predial</v>
      </c>
      <c r="D19" s="81" t="str">
        <f aca="false">'Base Chapecó'!D23</f>
        <v>Ajudante (ref. SINAPI/88241)</v>
      </c>
      <c r="E19" s="151" t="str">
        <f aca="false">'Base Chapecó'!E23</f>
        <v>Eletrotécnico (ref. SINAPI/88266)</v>
      </c>
      <c r="N19" s="152"/>
      <c r="O19" s="153"/>
      <c r="R19" s="82"/>
      <c r="V19" s="153"/>
      <c r="Z19" s="82"/>
      <c r="AA19" s="82"/>
      <c r="AB19" s="82"/>
      <c r="AC19" s="82"/>
    </row>
    <row r="20" customFormat="false" ht="18" hidden="false" customHeight="true" outlineLevel="0" collapsed="false">
      <c r="B20" s="47"/>
      <c r="C20" s="24" t="n">
        <f aca="false">'Comp. Oficial de Manutenção PR'!D11</f>
        <v>34.820595</v>
      </c>
      <c r="D20" s="24" t="n">
        <v>29.87</v>
      </c>
      <c r="E20" s="24" t="n">
        <v>44.39</v>
      </c>
      <c r="N20" s="152"/>
      <c r="O20" s="153"/>
    </row>
    <row r="21" customFormat="false" ht="40.5" hidden="false" customHeight="true" outlineLevel="0" collapsed="false">
      <c r="B21" s="51" t="s">
        <v>148</v>
      </c>
      <c r="N21" s="153"/>
      <c r="O21" s="153"/>
    </row>
    <row r="22" customFormat="false" ht="14.25" hidden="false" customHeight="false" outlineLevel="0" collapsed="false">
      <c r="C22" s="153"/>
      <c r="N22" s="153"/>
      <c r="O22" s="153"/>
    </row>
    <row r="23" customFormat="false" ht="14.25" hidden="false" customHeight="false" outlineLevel="0" collapsed="false">
      <c r="N23" s="153"/>
      <c r="O23" s="153"/>
    </row>
    <row r="24" customFormat="false" ht="15.75" hidden="false" customHeight="true" outlineLevel="0" collapsed="false">
      <c r="N24" s="153"/>
      <c r="O24" s="153"/>
    </row>
    <row r="25" customFormat="false" ht="14.25" hidden="false" customHeight="false" outlineLevel="0" collapsed="false">
      <c r="N25" s="153"/>
      <c r="O25" s="153"/>
    </row>
    <row r="26" customFormat="false" ht="14.25" hidden="false" customHeight="false" outlineLevel="0" collapsed="false">
      <c r="N26" s="153"/>
      <c r="O26" s="153"/>
    </row>
    <row r="27" customFormat="false" ht="14.25" hidden="false" customHeight="false" outlineLevel="0" collapsed="false">
      <c r="N27" s="153"/>
      <c r="O27" s="153"/>
    </row>
    <row r="28" customFormat="false" ht="14.25" hidden="false" customHeight="false" outlineLevel="0" collapsed="false">
      <c r="N28" s="153"/>
      <c r="O28" s="153"/>
    </row>
    <row r="29" customFormat="false" ht="14.25" hidden="false" customHeight="false" outlineLevel="0" collapsed="false">
      <c r="N29" s="153"/>
      <c r="O29" s="153"/>
    </row>
    <row r="65527" customFormat="false" ht="12.75" hidden="false" customHeight="true" outlineLevel="0" collapsed="false"/>
    <row r="65528" customFormat="false" ht="12.75" hidden="false" customHeight="true" outlineLevel="0" collapsed="false"/>
    <row r="65529" customFormat="false" ht="12.75" hidden="false" customHeight="true" outlineLevel="0" collapsed="false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T11:AU11"/>
    <mergeCell ref="AT12:AU12"/>
    <mergeCell ref="AT13:AU13"/>
    <mergeCell ref="AT14:AU14"/>
    <mergeCell ref="AT15:AU15"/>
    <mergeCell ref="AI17:AJ17"/>
    <mergeCell ref="B19:B20"/>
    <mergeCell ref="N19:N20"/>
  </mergeCells>
  <printOptions headings="false" gridLines="false" gridLinesSet="true" horizontalCentered="true" verticalCentered="false"/>
  <pageMargins left="0.0576388888888889" right="0.0472222222222222" top="0.332638888888889" bottom="0.196527777777778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S5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R15" activeCellId="0" sqref="R15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84" width="12.62"/>
    <col collapsed="false" customWidth="true" hidden="false" outlineLevel="0" max="3" min="3" style="84" width="32.62"/>
    <col collapsed="false" customWidth="true" hidden="false" outlineLevel="0" max="17" min="4" style="84" width="9.62"/>
    <col collapsed="false" customWidth="true" hidden="false" outlineLevel="0" max="18" min="18" style="84" width="12"/>
    <col collapsed="false" customWidth="true" hidden="false" outlineLevel="0" max="19" min="19" style="84" width="14.5"/>
    <col collapsed="false" customWidth="true" hidden="false" outlineLevel="0" max="66" min="20" style="84" width="10.75"/>
    <col collapsed="false" customWidth="true" hidden="false" outlineLevel="0" max="257" min="67" style="83" width="10.75"/>
    <col collapsed="false" customWidth="true" hidden="false" outlineLevel="0" max="1024" min="258" style="1" width="10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8" t="str">
        <f aca="false">"DESLOCAMENTO BASE "&amp;Resumo!B6</f>
        <v>DESLOCAMENTO BASE PATO BRANCO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customFormat="false" ht="15" hidden="false" customHeight="true" outlineLevel="0" collapsed="false"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</row>
    <row r="4" customFormat="false" ht="38.25" hidden="false" customHeight="false" outlineLevel="0" collapsed="false">
      <c r="B4" s="21" t="s">
        <v>104</v>
      </c>
      <c r="C4" s="21" t="str">
        <f aca="false">"Rota (saída e retorno "&amp;Resumo!B6&amp;")"</f>
        <v>Rota (saída e retorno PATO BRANCO)</v>
      </c>
      <c r="D4" s="21" t="s">
        <v>105</v>
      </c>
      <c r="E4" s="21" t="s">
        <v>106</v>
      </c>
      <c r="F4" s="21" t="s">
        <v>107</v>
      </c>
      <c r="G4" s="21" t="s">
        <v>108</v>
      </c>
      <c r="H4" s="21" t="s">
        <v>109</v>
      </c>
      <c r="I4" s="21" t="s">
        <v>110</v>
      </c>
      <c r="J4" s="21" t="s">
        <v>111</v>
      </c>
      <c r="K4" s="21" t="s">
        <v>112</v>
      </c>
      <c r="L4" s="21" t="s">
        <v>113</v>
      </c>
      <c r="M4" s="86" t="s">
        <v>149</v>
      </c>
      <c r="N4" s="21" t="s">
        <v>115</v>
      </c>
      <c r="O4" s="21" t="s">
        <v>116</v>
      </c>
      <c r="P4" s="21" t="s">
        <v>117</v>
      </c>
      <c r="Q4" s="21" t="s">
        <v>67</v>
      </c>
      <c r="R4" s="32" t="s">
        <v>118</v>
      </c>
      <c r="S4" s="32" t="s">
        <v>119</v>
      </c>
    </row>
    <row r="5" customFormat="false" ht="15.75" hidden="false" customHeight="true" outlineLevel="0" collapsed="false">
      <c r="B5" s="50" t="n">
        <v>1</v>
      </c>
      <c r="C5" s="154" t="s">
        <v>143</v>
      </c>
      <c r="D5" s="155" t="n">
        <v>29.1</v>
      </c>
      <c r="E5" s="155" t="n">
        <v>29.7</v>
      </c>
      <c r="F5" s="155" t="n">
        <v>0</v>
      </c>
      <c r="G5" s="92" t="n">
        <f aca="false">SUM(D5:F5)</f>
        <v>58.8</v>
      </c>
      <c r="H5" s="155" t="n">
        <v>33</v>
      </c>
      <c r="I5" s="155" t="n">
        <v>31</v>
      </c>
      <c r="J5" s="155" t="n">
        <v>0</v>
      </c>
      <c r="K5" s="92" t="n">
        <f aca="false">SUM(H5:J5)</f>
        <v>64</v>
      </c>
      <c r="L5" s="92" t="n">
        <f aca="false">K5/60</f>
        <v>1.06666666666667</v>
      </c>
      <c r="M5" s="98" t="n">
        <v>0</v>
      </c>
      <c r="N5" s="91" t="n">
        <v>2</v>
      </c>
      <c r="O5" s="156" t="n">
        <f aca="false">L5/N5</f>
        <v>0.533333333333333</v>
      </c>
      <c r="P5" s="97" t="n">
        <f aca="false">M5/N5</f>
        <v>0</v>
      </c>
      <c r="Q5" s="97" t="n">
        <v>0</v>
      </c>
      <c r="R5" s="98" t="str">
        <f aca="false">INDEX('Base Pato Branco'!$K$7:$K$16,MATCH(C5,'Base Pato Branco'!$B$7:$B$16,0))</f>
        <v>NÃO</v>
      </c>
      <c r="S5" s="99" t="n">
        <v>1</v>
      </c>
    </row>
    <row r="6" customFormat="false" ht="15.75" hidden="false" customHeight="true" outlineLevel="0" collapsed="false">
      <c r="B6" s="50"/>
      <c r="C6" s="154" t="s">
        <v>147</v>
      </c>
      <c r="D6" s="155"/>
      <c r="E6" s="155"/>
      <c r="F6" s="155"/>
      <c r="G6" s="92"/>
      <c r="H6" s="155"/>
      <c r="I6" s="155"/>
      <c r="J6" s="155"/>
      <c r="K6" s="92"/>
      <c r="L6" s="92"/>
      <c r="M6" s="98"/>
      <c r="N6" s="91"/>
      <c r="O6" s="157" t="n">
        <f aca="false">O5</f>
        <v>0.533333333333333</v>
      </c>
      <c r="P6" s="107" t="n">
        <f aca="false">P5</f>
        <v>0</v>
      </c>
      <c r="Q6" s="107" t="n">
        <f aca="false">Q5</f>
        <v>0</v>
      </c>
      <c r="R6" s="98" t="str">
        <f aca="false">INDEX('Base Pato Branco'!$K$7:$K$16,MATCH(C6,'Base Pato Branco'!$B$7:$B$16,0))</f>
        <v>SIM</v>
      </c>
      <c r="S6" s="99" t="n">
        <v>1</v>
      </c>
    </row>
    <row r="7" customFormat="false" ht="15.75" hidden="false" customHeight="true" outlineLevel="0" collapsed="false">
      <c r="B7" s="50" t="n">
        <v>2</v>
      </c>
      <c r="C7" s="154" t="s">
        <v>146</v>
      </c>
      <c r="D7" s="155" t="n">
        <v>119</v>
      </c>
      <c r="E7" s="155" t="n">
        <v>25.6</v>
      </c>
      <c r="F7" s="155" t="n">
        <v>144</v>
      </c>
      <c r="G7" s="92" t="n">
        <f aca="false">SUM(D7:F7)</f>
        <v>288.6</v>
      </c>
      <c r="H7" s="155" t="n">
        <v>112</v>
      </c>
      <c r="I7" s="155" t="n">
        <v>27</v>
      </c>
      <c r="J7" s="155" t="n">
        <v>139</v>
      </c>
      <c r="K7" s="92" t="n">
        <f aca="false">SUM(H7:J7)</f>
        <v>278</v>
      </c>
      <c r="L7" s="92" t="n">
        <f aca="false">K7/60</f>
        <v>4.63333333333333</v>
      </c>
      <c r="M7" s="98" t="n">
        <v>0</v>
      </c>
      <c r="N7" s="91" t="n">
        <v>2</v>
      </c>
      <c r="O7" s="156" t="n">
        <f aca="false">L7/N7</f>
        <v>2.31666666666667</v>
      </c>
      <c r="P7" s="97" t="n">
        <f aca="false">M7/N7</f>
        <v>0</v>
      </c>
      <c r="Q7" s="97" t="n">
        <v>0</v>
      </c>
      <c r="R7" s="98" t="str">
        <f aca="false">INDEX('Base Pato Branco'!$K$7:$K$16,MATCH(C7,'Base Pato Branco'!$B$7:$B$16,0))</f>
        <v>NÃO</v>
      </c>
      <c r="S7" s="99" t="n">
        <v>0</v>
      </c>
    </row>
    <row r="8" customFormat="false" ht="15.75" hidden="false" customHeight="true" outlineLevel="0" collapsed="false">
      <c r="B8" s="50"/>
      <c r="C8" s="154" t="s">
        <v>145</v>
      </c>
      <c r="D8" s="155"/>
      <c r="E8" s="155"/>
      <c r="F8" s="155"/>
      <c r="G8" s="92"/>
      <c r="H8" s="155"/>
      <c r="I8" s="155"/>
      <c r="J8" s="155"/>
      <c r="K8" s="92"/>
      <c r="L8" s="92"/>
      <c r="M8" s="98"/>
      <c r="N8" s="91"/>
      <c r="O8" s="157" t="n">
        <f aca="false">O7</f>
        <v>2.31666666666667</v>
      </c>
      <c r="P8" s="107" t="n">
        <f aca="false">P7</f>
        <v>0</v>
      </c>
      <c r="Q8" s="107" t="n">
        <f aca="false">Q7</f>
        <v>0</v>
      </c>
      <c r="R8" s="98" t="str">
        <f aca="false">INDEX('Base Pato Branco'!$K$7:$K$16,MATCH(C8,'Base Pato Branco'!$B$7:$B$16,0))</f>
        <v>NÃO</v>
      </c>
      <c r="S8" s="99" t="n">
        <v>0</v>
      </c>
    </row>
    <row r="9" customFormat="false" ht="15.75" hidden="false" customHeight="true" outlineLevel="0" collapsed="false">
      <c r="B9" s="50" t="n">
        <v>3</v>
      </c>
      <c r="C9" s="154" t="s">
        <v>138</v>
      </c>
      <c r="D9" s="155" t="n">
        <v>31.8</v>
      </c>
      <c r="E9" s="155" t="n">
        <v>46.4</v>
      </c>
      <c r="F9" s="155" t="n">
        <v>78.1</v>
      </c>
      <c r="G9" s="92" t="n">
        <f aca="false">SUM(D9:F9)</f>
        <v>156.3</v>
      </c>
      <c r="H9" s="155" t="n">
        <v>31</v>
      </c>
      <c r="I9" s="155" t="n">
        <v>41</v>
      </c>
      <c r="J9" s="155" t="n">
        <v>70</v>
      </c>
      <c r="K9" s="92" t="n">
        <f aca="false">SUM(H9:J9)</f>
        <v>142</v>
      </c>
      <c r="L9" s="92" t="n">
        <f aca="false">K9/60</f>
        <v>2.36666666666667</v>
      </c>
      <c r="M9" s="98" t="n">
        <v>0</v>
      </c>
      <c r="N9" s="91" t="n">
        <v>2</v>
      </c>
      <c r="O9" s="156" t="n">
        <f aca="false">L9/N9</f>
        <v>1.18333333333333</v>
      </c>
      <c r="P9" s="97" t="n">
        <f aca="false">M9/N9</f>
        <v>0</v>
      </c>
      <c r="Q9" s="97" t="n">
        <v>0</v>
      </c>
      <c r="R9" s="98" t="str">
        <f aca="false">INDEX('Base Pato Branco'!$K$7:$K$16,MATCH(C9,'Base Pato Branco'!$B$7:$B$16,0))</f>
        <v>NÃO</v>
      </c>
      <c r="S9" s="99" t="n">
        <v>0</v>
      </c>
    </row>
    <row r="10" customFormat="false" ht="15.75" hidden="false" customHeight="true" outlineLevel="0" collapsed="false">
      <c r="B10" s="50"/>
      <c r="C10" s="154" t="s">
        <v>141</v>
      </c>
      <c r="D10" s="155"/>
      <c r="E10" s="155"/>
      <c r="F10" s="155"/>
      <c r="G10" s="92"/>
      <c r="H10" s="155"/>
      <c r="I10" s="155"/>
      <c r="J10" s="155"/>
      <c r="K10" s="92"/>
      <c r="L10" s="92"/>
      <c r="M10" s="98" t="n">
        <v>0</v>
      </c>
      <c r="N10" s="91"/>
      <c r="O10" s="157" t="n">
        <f aca="false">O9</f>
        <v>1.18333333333333</v>
      </c>
      <c r="P10" s="107" t="n">
        <f aca="false">P9</f>
        <v>0</v>
      </c>
      <c r="Q10" s="107" t="n">
        <f aca="false">Q9</f>
        <v>0</v>
      </c>
      <c r="R10" s="98" t="str">
        <f aca="false">INDEX('Base Pato Branco'!$K$7:$K$16,MATCH(C10,'Base Pato Branco'!$B$7:$B$16,0))</f>
        <v>NÃO</v>
      </c>
      <c r="S10" s="99" t="n">
        <v>0</v>
      </c>
    </row>
    <row r="11" customFormat="false" ht="15.75" hidden="false" customHeight="true" outlineLevel="0" collapsed="false">
      <c r="B11" s="50" t="n">
        <v>4</v>
      </c>
      <c r="C11" s="154" t="s">
        <v>144</v>
      </c>
      <c r="D11" s="155" t="n">
        <v>128</v>
      </c>
      <c r="E11" s="155" t="n">
        <v>59.3</v>
      </c>
      <c r="F11" s="155" t="n">
        <v>75.8</v>
      </c>
      <c r="G11" s="92" t="n">
        <f aca="false">SUM(D11:F11)</f>
        <v>263.1</v>
      </c>
      <c r="H11" s="155" t="n">
        <v>113</v>
      </c>
      <c r="I11" s="155" t="n">
        <v>58</v>
      </c>
      <c r="J11" s="155" t="n">
        <v>76</v>
      </c>
      <c r="K11" s="92" t="n">
        <f aca="false">SUM(H11:J11)</f>
        <v>247</v>
      </c>
      <c r="L11" s="92" t="n">
        <f aca="false">K11/60</f>
        <v>4.11666666666667</v>
      </c>
      <c r="M11" s="98" t="n">
        <v>0</v>
      </c>
      <c r="N11" s="91" t="n">
        <v>2</v>
      </c>
      <c r="O11" s="156" t="n">
        <f aca="false">L11/N11</f>
        <v>2.05833333333333</v>
      </c>
      <c r="P11" s="97" t="n">
        <f aca="false">M11/N11</f>
        <v>0</v>
      </c>
      <c r="Q11" s="97" t="n">
        <v>0</v>
      </c>
      <c r="R11" s="98" t="str">
        <f aca="false">INDEX('Base Pato Branco'!$K$7:$K$16,MATCH(C11,'Base Pato Branco'!$B$7:$B$16,0))</f>
        <v>NÃO</v>
      </c>
      <c r="S11" s="99" t="n">
        <v>0</v>
      </c>
    </row>
    <row r="12" customFormat="false" ht="15.75" hidden="false" customHeight="true" outlineLevel="0" collapsed="false">
      <c r="B12" s="50"/>
      <c r="C12" s="154" t="s">
        <v>139</v>
      </c>
      <c r="D12" s="155"/>
      <c r="E12" s="155"/>
      <c r="F12" s="155"/>
      <c r="G12" s="92"/>
      <c r="H12" s="155"/>
      <c r="I12" s="155"/>
      <c r="J12" s="155"/>
      <c r="K12" s="92"/>
      <c r="L12" s="92"/>
      <c r="M12" s="98"/>
      <c r="N12" s="91"/>
      <c r="O12" s="157" t="n">
        <f aca="false">O11</f>
        <v>2.05833333333333</v>
      </c>
      <c r="P12" s="107" t="n">
        <f aca="false">P11</f>
        <v>0</v>
      </c>
      <c r="Q12" s="107" t="n">
        <f aca="false">Q11</f>
        <v>0</v>
      </c>
      <c r="R12" s="98" t="str">
        <f aca="false">INDEX('Base Pato Branco'!$K$7:$K$16,MATCH(C12,'Base Pato Branco'!$B$7:$B$16,0))</f>
        <v>NÃO</v>
      </c>
      <c r="S12" s="99" t="n">
        <v>0</v>
      </c>
    </row>
    <row r="13" customFormat="false" ht="15.75" hidden="false" customHeight="true" outlineLevel="0" collapsed="false">
      <c r="B13" s="50" t="n">
        <v>5</v>
      </c>
      <c r="C13" s="154" t="s">
        <v>140</v>
      </c>
      <c r="D13" s="155" t="n">
        <v>53.4</v>
      </c>
      <c r="E13" s="155" t="n">
        <v>53.4</v>
      </c>
      <c r="F13" s="155" t="n">
        <v>0</v>
      </c>
      <c r="G13" s="92" t="n">
        <f aca="false">SUM(D13:F13)</f>
        <v>106.8</v>
      </c>
      <c r="H13" s="155" t="n">
        <v>59</v>
      </c>
      <c r="I13" s="155" t="n">
        <v>58</v>
      </c>
      <c r="J13" s="155" t="n">
        <v>0</v>
      </c>
      <c r="K13" s="92" t="n">
        <f aca="false">SUM(H13:J13)</f>
        <v>117</v>
      </c>
      <c r="L13" s="92" t="n">
        <f aca="false">K13/60</f>
        <v>1.95</v>
      </c>
      <c r="M13" s="93" t="n">
        <v>0</v>
      </c>
      <c r="N13" s="158" t="n">
        <v>1</v>
      </c>
      <c r="O13" s="92" t="n">
        <f aca="false">L13/N13</f>
        <v>1.95</v>
      </c>
      <c r="P13" s="111" t="n">
        <f aca="false">M13/N13</f>
        <v>0</v>
      </c>
      <c r="Q13" s="93" t="n">
        <v>0</v>
      </c>
      <c r="R13" s="98" t="str">
        <f aca="false">INDEX('Base Pato Branco'!$K$7:$K$16,MATCH(C13,'Base Pato Branco'!$B$7:$B$16,0))</f>
        <v>SIM</v>
      </c>
      <c r="S13" s="99" t="n">
        <v>1</v>
      </c>
    </row>
    <row r="14" customFormat="false" ht="15.75" hidden="false" customHeight="true" outlineLevel="0" collapsed="false">
      <c r="B14" s="50" t="n">
        <v>6</v>
      </c>
      <c r="C14" s="154" t="s">
        <v>142</v>
      </c>
      <c r="D14" s="155" t="n">
        <v>88.6</v>
      </c>
      <c r="E14" s="155" t="n">
        <v>88.5</v>
      </c>
      <c r="F14" s="155" t="n">
        <v>0</v>
      </c>
      <c r="G14" s="92" t="n">
        <f aca="false">SUM(D14:F14)</f>
        <v>177.1</v>
      </c>
      <c r="H14" s="155" t="n">
        <v>82</v>
      </c>
      <c r="I14" s="155" t="n">
        <v>83</v>
      </c>
      <c r="J14" s="155" t="n">
        <v>0</v>
      </c>
      <c r="K14" s="92" t="n">
        <f aca="false">SUM(H14:J14)</f>
        <v>165</v>
      </c>
      <c r="L14" s="92" t="n">
        <f aca="false">K14/60</f>
        <v>2.75</v>
      </c>
      <c r="M14" s="93" t="n">
        <v>0</v>
      </c>
      <c r="N14" s="158" t="n">
        <v>1</v>
      </c>
      <c r="O14" s="92" t="n">
        <f aca="false">L14/N14</f>
        <v>2.75</v>
      </c>
      <c r="P14" s="111" t="n">
        <f aca="false">M14/N14</f>
        <v>0</v>
      </c>
      <c r="Q14" s="93" t="n">
        <v>0</v>
      </c>
      <c r="R14" s="98" t="str">
        <f aca="false">INDEX('Base Pato Branco'!$K$7:$K$16,MATCH(C14,'Base Pato Branco'!$B$7:$B$16,0))</f>
        <v>NÃO</v>
      </c>
      <c r="S14" s="99" t="n">
        <v>0</v>
      </c>
    </row>
    <row r="15" customFormat="false" ht="21" hidden="false" customHeight="true" outlineLevel="0" collapsed="false">
      <c r="B15" s="114" t="s">
        <v>100</v>
      </c>
      <c r="C15" s="114"/>
      <c r="D15" s="114"/>
      <c r="E15" s="114"/>
      <c r="F15" s="114"/>
      <c r="G15" s="115" t="n">
        <f aca="false">SUM(G5:G14)</f>
        <v>1050.7</v>
      </c>
      <c r="H15" s="115" t="s">
        <v>100</v>
      </c>
      <c r="I15" s="115"/>
      <c r="J15" s="115"/>
      <c r="K15" s="115" t="n">
        <f aca="false">SUM(K5:K14)</f>
        <v>1013</v>
      </c>
      <c r="L15" s="115" t="n">
        <f aca="false">SUM(L5:L14)</f>
        <v>16.8833333333333</v>
      </c>
      <c r="M15" s="117" t="n">
        <f aca="false">SUM(M5:M14)</f>
        <v>0</v>
      </c>
      <c r="N15" s="159" t="n">
        <f aca="false">SUM(N5:N14)</f>
        <v>10</v>
      </c>
      <c r="O15" s="115" t="n">
        <f aca="false">SUM(O5:O14)</f>
        <v>16.8833333333333</v>
      </c>
      <c r="P15" s="117" t="n">
        <f aca="false">SUM(P5:P14)</f>
        <v>0</v>
      </c>
      <c r="Q15" s="117" t="n">
        <v>0</v>
      </c>
      <c r="R15" s="117"/>
      <c r="S15" s="117"/>
    </row>
    <row r="16" customFormat="false" ht="15.75" hidden="false" customHeight="true" outlineLevel="0" collapsed="false">
      <c r="B16" s="121"/>
      <c r="C16" s="121"/>
      <c r="D16" s="121"/>
      <c r="E16" s="121"/>
      <c r="F16" s="83"/>
      <c r="G16" s="83"/>
      <c r="H16" s="83"/>
      <c r="I16" s="83"/>
      <c r="J16" s="83"/>
      <c r="K16" s="83"/>
      <c r="L16" s="83"/>
      <c r="M16" s="83"/>
      <c r="N16" s="83"/>
    </row>
    <row r="17" customFormat="false" ht="18.75" hidden="false" customHeight="true" outlineLevel="0" collapsed="false">
      <c r="B17" s="122" t="s">
        <v>120</v>
      </c>
      <c r="C17" s="122"/>
      <c r="D17" s="122"/>
      <c r="E17" s="122"/>
      <c r="F17" s="121"/>
      <c r="G17" s="121"/>
      <c r="H17" s="121"/>
      <c r="I17" s="121"/>
      <c r="J17" s="121"/>
      <c r="K17" s="121"/>
      <c r="L17" s="121"/>
      <c r="M17" s="121"/>
      <c r="N17" s="121"/>
    </row>
    <row r="18" customFormat="false" ht="18.75" hidden="false" customHeight="true" outlineLevel="0" collapsed="false">
      <c r="B18" s="142" t="s">
        <v>121</v>
      </c>
      <c r="C18" s="142" t="s">
        <v>122</v>
      </c>
      <c r="D18" s="142" t="s">
        <v>123</v>
      </c>
      <c r="E18" s="142" t="s">
        <v>124</v>
      </c>
      <c r="F18" s="121"/>
      <c r="G18" s="123"/>
      <c r="H18" s="123"/>
      <c r="I18" s="121"/>
      <c r="J18" s="121"/>
      <c r="K18" s="121"/>
      <c r="L18" s="121"/>
      <c r="M18" s="121"/>
      <c r="N18" s="121"/>
    </row>
    <row r="19" customFormat="false" ht="18.75" hidden="false" customHeight="true" outlineLevel="0" collapsed="false">
      <c r="B19" s="50" t="s">
        <v>125</v>
      </c>
      <c r="C19" s="125" t="s">
        <v>126</v>
      </c>
      <c r="D19" s="50" t="s">
        <v>127</v>
      </c>
      <c r="E19" s="126" t="n">
        <f aca="false">'Comp. Veículo PR'!D11</f>
        <v>54.3</v>
      </c>
      <c r="F19" s="121"/>
      <c r="G19" s="127"/>
      <c r="H19" s="160"/>
      <c r="I19" s="121"/>
      <c r="J19" s="121"/>
      <c r="K19" s="161"/>
      <c r="L19" s="161"/>
    </row>
    <row r="20" customFormat="false" ht="18.75" hidden="false" customHeight="true" outlineLevel="0" collapsed="false">
      <c r="B20" s="108" t="s">
        <v>128</v>
      </c>
      <c r="C20" s="128" t="s">
        <v>126</v>
      </c>
      <c r="D20" s="108" t="s">
        <v>129</v>
      </c>
      <c r="E20" s="129" t="n">
        <f aca="false">'Comp. Veículo PR'!D27</f>
        <v>6.56</v>
      </c>
      <c r="F20" s="121"/>
      <c r="G20" s="127"/>
      <c r="H20" s="127"/>
      <c r="I20" s="121"/>
      <c r="J20" s="121"/>
      <c r="K20" s="161"/>
      <c r="L20" s="161"/>
    </row>
    <row r="21" customFormat="false" ht="47.25" hidden="false" customHeight="true" outlineLevel="0" collapsed="false">
      <c r="B21" s="130" t="s">
        <v>130</v>
      </c>
      <c r="C21" s="130"/>
      <c r="D21" s="130"/>
      <c r="E21" s="130"/>
      <c r="F21" s="131"/>
      <c r="G21" s="131"/>
      <c r="H21" s="131"/>
      <c r="I21" s="131"/>
      <c r="J21" s="131"/>
      <c r="K21" s="131"/>
      <c r="L21" s="161"/>
    </row>
    <row r="22" customFormat="false" ht="18.75" hidden="false" customHeight="true" outlineLevel="0" collapsed="false">
      <c r="B22" s="132"/>
      <c r="C22" s="132"/>
      <c r="D22" s="132"/>
      <c r="E22" s="132"/>
      <c r="F22" s="131"/>
      <c r="G22" s="131"/>
      <c r="H22" s="131"/>
      <c r="I22" s="131"/>
      <c r="J22" s="131"/>
      <c r="K22" s="131"/>
      <c r="L22" s="161"/>
    </row>
    <row r="23" customFormat="false" ht="15.75" hidden="false" customHeight="true" outlineLevel="0" collapsed="false">
      <c r="B23" s="122" t="s">
        <v>131</v>
      </c>
      <c r="C23" s="122"/>
      <c r="D23" s="121"/>
      <c r="E23" s="121"/>
      <c r="F23" s="121"/>
      <c r="G23" s="121"/>
      <c r="H23" s="121"/>
      <c r="I23" s="121"/>
      <c r="J23" s="121"/>
      <c r="K23" s="121"/>
      <c r="L23" s="121"/>
    </row>
    <row r="24" customFormat="false" ht="15.75" hidden="false" customHeight="true" outlineLevel="0" collapsed="false">
      <c r="B24" s="162" t="s">
        <v>127</v>
      </c>
      <c r="C24" s="163" t="n">
        <f aca="false">E19*L15</f>
        <v>916.765</v>
      </c>
      <c r="D24" s="121"/>
      <c r="E24" s="121"/>
      <c r="F24" s="121"/>
      <c r="G24" s="121"/>
      <c r="H24" s="121"/>
      <c r="I24" s="121"/>
      <c r="J24" s="121"/>
    </row>
    <row r="25" customFormat="false" ht="15.75" hidden="false" customHeight="true" outlineLevel="0" collapsed="false">
      <c r="B25" s="50" t="s">
        <v>129</v>
      </c>
      <c r="C25" s="126" t="n">
        <f aca="false">E20*('Base Pato Branco'!N17/12)</f>
        <v>190.021333333333</v>
      </c>
      <c r="D25" s="121"/>
      <c r="E25" s="121"/>
      <c r="F25" s="121"/>
      <c r="G25" s="121"/>
      <c r="H25" s="121"/>
      <c r="I25" s="121"/>
      <c r="J25" s="121"/>
    </row>
    <row r="26" customFormat="false" ht="15.75" hidden="false" customHeight="true" outlineLevel="0" collapsed="false">
      <c r="B26" s="133" t="s">
        <v>28</v>
      </c>
      <c r="C26" s="134" t="n">
        <f aca="false">C24+C25</f>
        <v>1106.78633333333</v>
      </c>
      <c r="D26" s="121"/>
      <c r="E26" s="121"/>
      <c r="F26" s="121"/>
      <c r="G26" s="121"/>
      <c r="H26" s="121"/>
      <c r="I26" s="83"/>
      <c r="J26" s="83"/>
    </row>
    <row r="27" customFormat="false" ht="15.75" hidden="false" customHeight="true" outlineLevel="0" collapsed="false">
      <c r="B27" s="164"/>
      <c r="C27" s="164"/>
      <c r="D27" s="121"/>
      <c r="H27" s="83"/>
      <c r="I27" s="83"/>
    </row>
    <row r="28" customFormat="false" ht="15.75" hidden="false" customHeight="true" outlineLevel="0" collapsed="false">
      <c r="B28" s="136" t="s">
        <v>132</v>
      </c>
      <c r="C28" s="136"/>
      <c r="D28" s="121"/>
      <c r="H28" s="83"/>
      <c r="I28" s="83"/>
    </row>
    <row r="29" customFormat="false" ht="15.75" hidden="false" customHeight="true" outlineLevel="0" collapsed="false">
      <c r="B29" s="142" t="s">
        <v>124</v>
      </c>
      <c r="C29" s="138" t="n">
        <f aca="false">SUM(M5:M14)</f>
        <v>0</v>
      </c>
      <c r="I29" s="121"/>
    </row>
    <row r="30" customFormat="false" ht="14.25" hidden="false" customHeight="false" outlineLevel="0" collapsed="false">
      <c r="B30" s="83"/>
      <c r="C30" s="83"/>
      <c r="D30" s="83"/>
    </row>
    <row r="31" customFormat="false" ht="14.25" hidden="false" customHeight="false" outlineLevel="0" collapsed="false">
      <c r="B31" s="127"/>
      <c r="C31" s="121"/>
      <c r="D31" s="121"/>
    </row>
    <row r="32" customFormat="false" ht="14.25" hidden="false" customHeight="false" outlineLevel="0" collapsed="false">
      <c r="B32" s="164"/>
      <c r="C32" s="121"/>
      <c r="D32" s="121"/>
    </row>
    <row r="33" customFormat="false" ht="14.25" hidden="false" customHeight="false" outlineLevel="0" collapsed="false">
      <c r="B33" s="121"/>
      <c r="C33" s="121"/>
      <c r="D33" s="127"/>
    </row>
    <row r="34" customFormat="false" ht="14.25" hidden="false" customHeight="false" outlineLevel="0" collapsed="false">
      <c r="B34" s="121"/>
      <c r="C34" s="121"/>
      <c r="D34" s="127"/>
    </row>
    <row r="35" customFormat="false" ht="14.25" hidden="false" customHeight="false" outlineLevel="0" collapsed="false">
      <c r="B35" s="121"/>
      <c r="C35" s="121"/>
      <c r="D35" s="127"/>
    </row>
    <row r="36" customFormat="false" ht="14.25" hidden="false" customHeight="false" outlineLevel="0" collapsed="false">
      <c r="B36" s="164"/>
      <c r="C36" s="121"/>
      <c r="D36" s="165"/>
    </row>
    <row r="37" customFormat="false" ht="14.25" hidden="false" customHeight="false" outlineLevel="0" collapsed="false">
      <c r="B37" s="83"/>
      <c r="C37" s="83"/>
      <c r="D37" s="83"/>
    </row>
    <row r="38" customFormat="false" ht="14.25" hidden="false" customHeight="false" outlineLevel="0" collapsed="false">
      <c r="B38" s="166"/>
      <c r="C38" s="83"/>
      <c r="D38" s="83"/>
    </row>
    <row r="39" customFormat="false" ht="14.25" hidden="false" customHeight="false" outlineLevel="0" collapsed="false">
      <c r="B39" s="127"/>
      <c r="C39" s="121"/>
      <c r="D39" s="121"/>
    </row>
    <row r="40" customFormat="false" ht="14.25" hidden="false" customHeight="false" outlineLevel="0" collapsed="false">
      <c r="B40" s="164"/>
      <c r="C40" s="121"/>
      <c r="D40" s="121"/>
    </row>
    <row r="41" customFormat="false" ht="14.25" hidden="false" customHeight="false" outlineLevel="0" collapsed="false">
      <c r="B41" s="121"/>
      <c r="C41" s="121"/>
      <c r="D41" s="127"/>
    </row>
    <row r="42" customFormat="false" ht="14.25" hidden="false" customHeight="false" outlineLevel="0" collapsed="false">
      <c r="B42" s="121"/>
      <c r="C42" s="121"/>
      <c r="D42" s="127"/>
    </row>
    <row r="43" customFormat="false" ht="14.25" hidden="false" customHeight="false" outlineLevel="0" collapsed="false">
      <c r="B43" s="164"/>
      <c r="C43" s="121"/>
      <c r="D43" s="165"/>
    </row>
    <row r="44" customFormat="false" ht="14.25" hidden="false" customHeight="false" outlineLevel="0" collapsed="false">
      <c r="B44" s="83"/>
      <c r="C44" s="83"/>
      <c r="D44" s="83"/>
    </row>
    <row r="45" customFormat="false" ht="14.25" hidden="false" customHeight="false" outlineLevel="0" collapsed="false">
      <c r="B45" s="166"/>
      <c r="C45" s="83"/>
      <c r="D45" s="83"/>
    </row>
    <row r="46" customFormat="false" ht="14.25" hidden="false" customHeight="false" outlineLevel="0" collapsed="false">
      <c r="B46" s="127"/>
      <c r="C46" s="121"/>
      <c r="D46" s="121"/>
    </row>
    <row r="47" customFormat="false" ht="14.25" hidden="false" customHeight="false" outlineLevel="0" collapsed="false">
      <c r="B47" s="164"/>
      <c r="C47" s="121"/>
      <c r="D47" s="121"/>
    </row>
    <row r="48" customFormat="false" ht="14.25" hidden="false" customHeight="false" outlineLevel="0" collapsed="false">
      <c r="B48" s="121"/>
      <c r="C48" s="121"/>
      <c r="D48" s="127"/>
    </row>
    <row r="49" customFormat="false" ht="14.25" hidden="false" customHeight="false" outlineLevel="0" collapsed="false">
      <c r="B49" s="121"/>
      <c r="C49" s="121"/>
      <c r="D49" s="127"/>
    </row>
    <row r="50" customFormat="false" ht="14.25" hidden="false" customHeight="false" outlineLevel="0" collapsed="false">
      <c r="B50" s="164"/>
      <c r="C50" s="121"/>
      <c r="D50" s="165"/>
    </row>
    <row r="51" customFormat="false" ht="14.25" hidden="false" customHeight="false" outlineLevel="0" collapsed="false">
      <c r="B51" s="83"/>
      <c r="C51" s="83"/>
      <c r="D51" s="83"/>
    </row>
    <row r="52" customFormat="false" ht="14.25" hidden="false" customHeight="false" outlineLevel="0" collapsed="false">
      <c r="B52" s="166"/>
      <c r="C52" s="83"/>
      <c r="D52" s="83"/>
    </row>
    <row r="53" customFormat="false" ht="14.25" hidden="false" customHeight="false" outlineLevel="0" collapsed="false">
      <c r="B53" s="127"/>
      <c r="C53" s="121"/>
      <c r="D53" s="121"/>
    </row>
    <row r="54" customFormat="false" ht="14.25" hidden="false" customHeight="false" outlineLevel="0" collapsed="false">
      <c r="B54" s="164"/>
      <c r="C54" s="121"/>
      <c r="D54" s="121"/>
    </row>
    <row r="55" customFormat="false" ht="14.25" hidden="false" customHeight="false" outlineLevel="0" collapsed="false">
      <c r="B55" s="121"/>
      <c r="C55" s="121"/>
      <c r="D55" s="127"/>
    </row>
    <row r="56" customFormat="false" ht="14.25" hidden="false" customHeight="false" outlineLevel="0" collapsed="false">
      <c r="B56" s="121"/>
      <c r="C56" s="121"/>
      <c r="D56" s="127"/>
    </row>
    <row r="57" customFormat="false" ht="14.25" hidden="false" customHeight="false" outlineLevel="0" collapsed="false">
      <c r="B57" s="121"/>
      <c r="C57" s="121"/>
      <c r="D57" s="127"/>
    </row>
    <row r="58" customFormat="false" ht="14.25" hidden="false" customHeight="false" outlineLevel="0" collapsed="false">
      <c r="B58" s="164"/>
      <c r="C58" s="121"/>
      <c r="D58" s="165"/>
    </row>
  </sheetData>
  <mergeCells count="55">
    <mergeCell ref="B2:Q2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B9:B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B11:B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B15:F15"/>
    <mergeCell ref="H15:J15"/>
    <mergeCell ref="B17:E17"/>
    <mergeCell ref="B21:E21"/>
    <mergeCell ref="B23:C23"/>
    <mergeCell ref="B28:C28"/>
  </mergeCells>
  <printOptions headings="false" gridLines="false" gridLinesSet="true" horizontalCentered="true" verticalCentered="false"/>
  <pageMargins left="0.7875" right="0.7875" top="0.159722222222222" bottom="0.0819444444444444" header="0.511811023622047" footer="0.511811023622047"/>
  <pageSetup paperSize="9" scale="100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4" colorId="64" zoomScale="100" zoomScaleNormal="100" zoomScalePageLayoutView="100" workbookViewId="0">
      <selection pane="topLeft" activeCell="H30" activeCellId="0" sqref="H30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5.75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67" t="s">
        <v>150</v>
      </c>
      <c r="C2" s="167"/>
      <c r="D2" s="167"/>
      <c r="E2" s="167"/>
      <c r="F2" s="167"/>
      <c r="G2" s="167"/>
      <c r="H2" s="167"/>
      <c r="I2" s="167"/>
    </row>
    <row r="3" customFormat="false" ht="21" hidden="false" customHeight="true" outlineLevel="0" collapsed="false"/>
    <row r="4" customFormat="false" ht="16.5" hidden="false" customHeight="true" outlineLevel="0" collapsed="false">
      <c r="B4" s="168" t="s">
        <v>151</v>
      </c>
      <c r="C4" s="168"/>
      <c r="D4" s="168"/>
      <c r="E4" s="168"/>
      <c r="F4" s="168"/>
      <c r="G4" s="168"/>
      <c r="H4" s="168"/>
      <c r="I4" s="168"/>
    </row>
    <row r="5" customFormat="false" ht="16.5" hidden="false" customHeight="true" outlineLevel="0" collapsed="false">
      <c r="B5" s="169" t="s">
        <v>152</v>
      </c>
      <c r="C5" s="169"/>
      <c r="D5" s="170" t="s">
        <v>153</v>
      </c>
      <c r="E5" s="170"/>
      <c r="F5" s="170"/>
      <c r="G5" s="170"/>
      <c r="H5" s="170"/>
      <c r="I5" s="170"/>
    </row>
    <row r="6" customFormat="false" ht="16.5" hidden="false" customHeight="true" outlineLevel="0" collapsed="false">
      <c r="B6" s="169" t="s">
        <v>122</v>
      </c>
      <c r="C6" s="169"/>
      <c r="D6" s="170" t="s">
        <v>154</v>
      </c>
      <c r="E6" s="170"/>
      <c r="F6" s="170"/>
      <c r="G6" s="170"/>
      <c r="H6" s="170"/>
      <c r="I6" s="170"/>
    </row>
    <row r="7" customFormat="false" ht="16.5" hidden="false" customHeight="true" outlineLevel="0" collapsed="false">
      <c r="B7" s="169" t="s">
        <v>155</v>
      </c>
      <c r="C7" s="169"/>
      <c r="D7" s="171" t="s">
        <v>156</v>
      </c>
      <c r="E7" s="171"/>
      <c r="F7" s="171"/>
      <c r="G7" s="171"/>
      <c r="H7" s="171"/>
      <c r="I7" s="171"/>
    </row>
    <row r="8" customFormat="false" ht="16.5" hidden="false" customHeight="true" outlineLevel="0" collapsed="false">
      <c r="B8" s="169" t="s">
        <v>157</v>
      </c>
      <c r="C8" s="169"/>
      <c r="D8" s="170" t="s">
        <v>158</v>
      </c>
      <c r="E8" s="170"/>
      <c r="F8" s="170"/>
      <c r="G8" s="170"/>
      <c r="H8" s="170"/>
      <c r="I8" s="170"/>
    </row>
    <row r="9" customFormat="false" ht="16.5" hidden="false" customHeight="true" outlineLevel="0" collapsed="false">
      <c r="B9" s="169" t="s">
        <v>159</v>
      </c>
      <c r="C9" s="169"/>
      <c r="D9" s="170" t="s">
        <v>160</v>
      </c>
      <c r="E9" s="170"/>
      <c r="F9" s="170"/>
      <c r="G9" s="170"/>
      <c r="H9" s="170"/>
      <c r="I9" s="170"/>
    </row>
    <row r="10" customFormat="false" ht="16.5" hidden="false" customHeight="true" outlineLevel="0" collapsed="false">
      <c r="B10" s="169" t="s">
        <v>123</v>
      </c>
      <c r="C10" s="169"/>
      <c r="D10" s="170" t="s">
        <v>127</v>
      </c>
      <c r="E10" s="170"/>
      <c r="F10" s="170"/>
      <c r="G10" s="170"/>
      <c r="H10" s="170"/>
      <c r="I10" s="170"/>
    </row>
    <row r="11" customFormat="false" ht="23.25" hidden="false" customHeight="true" outlineLevel="0" collapsed="false">
      <c r="B11" s="169" t="s">
        <v>161</v>
      </c>
      <c r="C11" s="169"/>
      <c r="D11" s="172" t="n">
        <f aca="false">SUM(I14:I18)</f>
        <v>54.43</v>
      </c>
      <c r="E11" s="172"/>
      <c r="F11" s="172"/>
      <c r="G11" s="172"/>
      <c r="H11" s="172"/>
      <c r="I11" s="172"/>
    </row>
    <row r="12" customFormat="false" ht="15.75" hidden="false" customHeight="true" outlineLevel="0" collapsed="false">
      <c r="B12" s="173"/>
      <c r="C12" s="173"/>
      <c r="D12" s="174"/>
      <c r="E12" s="174"/>
      <c r="F12" s="174"/>
      <c r="G12" s="174"/>
      <c r="H12" s="174"/>
      <c r="I12" s="174"/>
    </row>
    <row r="13" customFormat="false" ht="29.25" hidden="false" customHeight="true" outlineLevel="0" collapsed="false">
      <c r="B13" s="175"/>
      <c r="C13" s="175" t="s">
        <v>162</v>
      </c>
      <c r="D13" s="175" t="s">
        <v>122</v>
      </c>
      <c r="E13" s="175" t="s">
        <v>159</v>
      </c>
      <c r="F13" s="175" t="s">
        <v>123</v>
      </c>
      <c r="G13" s="176" t="s">
        <v>163</v>
      </c>
      <c r="H13" s="175" t="s">
        <v>164</v>
      </c>
      <c r="I13" s="175" t="s">
        <v>161</v>
      </c>
    </row>
    <row r="14" customFormat="false" ht="27.75" hidden="false" customHeight="true" outlineLevel="0" collapsed="false">
      <c r="B14" s="177" t="s">
        <v>165</v>
      </c>
      <c r="C14" s="177" t="s">
        <v>166</v>
      </c>
      <c r="D14" s="178" t="s">
        <v>167</v>
      </c>
      <c r="E14" s="178" t="s">
        <v>160</v>
      </c>
      <c r="F14" s="177" t="s">
        <v>168</v>
      </c>
      <c r="G14" s="179" t="n">
        <v>4.58</v>
      </c>
      <c r="H14" s="177" t="n">
        <v>1</v>
      </c>
      <c r="I14" s="179" t="n">
        <f aca="false">G14*H14</f>
        <v>4.58</v>
      </c>
    </row>
    <row r="15" customFormat="false" ht="27.75" hidden="false" customHeight="true" outlineLevel="0" collapsed="false">
      <c r="B15" s="177" t="s">
        <v>165</v>
      </c>
      <c r="C15" s="177" t="s">
        <v>169</v>
      </c>
      <c r="D15" s="178" t="s">
        <v>170</v>
      </c>
      <c r="E15" s="178" t="s">
        <v>160</v>
      </c>
      <c r="F15" s="177" t="s">
        <v>168</v>
      </c>
      <c r="G15" s="179" t="n">
        <v>1.41</v>
      </c>
      <c r="H15" s="177" t="n">
        <v>1</v>
      </c>
      <c r="I15" s="179" t="n">
        <f aca="false">G15*H15</f>
        <v>1.41</v>
      </c>
    </row>
    <row r="16" customFormat="false" ht="42" hidden="false" customHeight="true" outlineLevel="0" collapsed="false">
      <c r="B16" s="177" t="s">
        <v>165</v>
      </c>
      <c r="C16" s="177" t="s">
        <v>171</v>
      </c>
      <c r="D16" s="178" t="s">
        <v>172</v>
      </c>
      <c r="E16" s="178" t="s">
        <v>160</v>
      </c>
      <c r="F16" s="177" t="s">
        <v>168</v>
      </c>
      <c r="G16" s="179" t="n">
        <v>0.57</v>
      </c>
      <c r="H16" s="177" t="n">
        <v>1</v>
      </c>
      <c r="I16" s="179" t="n">
        <f aca="false">G16*H16</f>
        <v>0.57</v>
      </c>
    </row>
    <row r="17" customFormat="false" ht="27.75" hidden="false" customHeight="true" outlineLevel="0" collapsed="false">
      <c r="B17" s="177" t="s">
        <v>165</v>
      </c>
      <c r="C17" s="177" t="s">
        <v>173</v>
      </c>
      <c r="D17" s="178" t="s">
        <v>174</v>
      </c>
      <c r="E17" s="178" t="s">
        <v>160</v>
      </c>
      <c r="F17" s="177" t="s">
        <v>168</v>
      </c>
      <c r="G17" s="179" t="n">
        <v>5.73</v>
      </c>
      <c r="H17" s="177" t="n">
        <v>1</v>
      </c>
      <c r="I17" s="179" t="n">
        <f aca="false">G17*H17</f>
        <v>5.73</v>
      </c>
    </row>
    <row r="18" customFormat="false" ht="42" hidden="false" customHeight="true" outlineLevel="0" collapsed="false">
      <c r="B18" s="177" t="s">
        <v>165</v>
      </c>
      <c r="C18" s="177" t="s">
        <v>175</v>
      </c>
      <c r="D18" s="178" t="s">
        <v>176</v>
      </c>
      <c r="E18" s="178" t="s">
        <v>160</v>
      </c>
      <c r="F18" s="177" t="s">
        <v>168</v>
      </c>
      <c r="G18" s="179" t="n">
        <v>42.14</v>
      </c>
      <c r="H18" s="177" t="n">
        <v>1</v>
      </c>
      <c r="I18" s="179" t="n">
        <f aca="false">G18*H18</f>
        <v>42.14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67" t="s">
        <v>177</v>
      </c>
      <c r="C20" s="167"/>
      <c r="D20" s="167"/>
      <c r="E20" s="167"/>
      <c r="F20" s="167"/>
      <c r="G20" s="167"/>
      <c r="H20" s="167"/>
      <c r="I20" s="167"/>
    </row>
    <row r="21" customFormat="false" ht="16.5" hidden="false" customHeight="true" outlineLevel="0" collapsed="false">
      <c r="B21" s="169" t="s">
        <v>152</v>
      </c>
      <c r="C21" s="169"/>
      <c r="D21" s="170" t="s">
        <v>178</v>
      </c>
      <c r="E21" s="170"/>
      <c r="F21" s="170"/>
      <c r="G21" s="170"/>
      <c r="H21" s="170"/>
      <c r="I21" s="170"/>
    </row>
    <row r="22" customFormat="false" ht="16.5" hidden="false" customHeight="true" outlineLevel="0" collapsed="false">
      <c r="B22" s="169" t="s">
        <v>122</v>
      </c>
      <c r="C22" s="169"/>
      <c r="D22" s="170" t="s">
        <v>179</v>
      </c>
      <c r="E22" s="170"/>
      <c r="F22" s="170"/>
      <c r="G22" s="170"/>
      <c r="H22" s="170"/>
      <c r="I22" s="170"/>
    </row>
    <row r="23" customFormat="false" ht="16.5" hidden="false" customHeight="true" outlineLevel="0" collapsed="false">
      <c r="B23" s="169" t="s">
        <v>155</v>
      </c>
      <c r="C23" s="169"/>
      <c r="D23" s="171" t="s">
        <v>156</v>
      </c>
      <c r="E23" s="171"/>
      <c r="F23" s="171"/>
      <c r="G23" s="171"/>
      <c r="H23" s="171"/>
      <c r="I23" s="171"/>
    </row>
    <row r="24" customFormat="false" ht="16.5" hidden="false" customHeight="true" outlineLevel="0" collapsed="false">
      <c r="B24" s="169" t="s">
        <v>157</v>
      </c>
      <c r="C24" s="169"/>
      <c r="D24" s="170" t="s">
        <v>158</v>
      </c>
      <c r="E24" s="170"/>
      <c r="F24" s="170"/>
      <c r="G24" s="170"/>
      <c r="H24" s="170"/>
      <c r="I24" s="170"/>
    </row>
    <row r="25" customFormat="false" ht="16.5" hidden="false" customHeight="true" outlineLevel="0" collapsed="false">
      <c r="B25" s="169" t="s">
        <v>159</v>
      </c>
      <c r="C25" s="169"/>
      <c r="D25" s="170" t="s">
        <v>160</v>
      </c>
      <c r="E25" s="170"/>
      <c r="F25" s="170"/>
      <c r="G25" s="170"/>
      <c r="H25" s="170"/>
      <c r="I25" s="170"/>
    </row>
    <row r="26" customFormat="false" ht="16.5" hidden="false" customHeight="true" outlineLevel="0" collapsed="false">
      <c r="B26" s="169" t="s">
        <v>123</v>
      </c>
      <c r="C26" s="169"/>
      <c r="D26" s="170" t="s">
        <v>129</v>
      </c>
      <c r="E26" s="170"/>
      <c r="F26" s="170"/>
      <c r="G26" s="170"/>
      <c r="H26" s="170"/>
      <c r="I26" s="170"/>
    </row>
    <row r="27" customFormat="false" ht="23.25" hidden="false" customHeight="true" outlineLevel="0" collapsed="false">
      <c r="B27" s="169" t="s">
        <v>161</v>
      </c>
      <c r="C27" s="169"/>
      <c r="D27" s="180" t="n">
        <f aca="false">SUM(I30:I32)</f>
        <v>6.56</v>
      </c>
      <c r="E27" s="180"/>
      <c r="F27" s="180"/>
      <c r="G27" s="180"/>
      <c r="H27" s="180"/>
      <c r="I27" s="180"/>
    </row>
    <row r="28" customFormat="false" ht="15.75" hidden="false" customHeight="true" outlineLevel="0" collapsed="false">
      <c r="B28" s="173"/>
      <c r="C28" s="173"/>
      <c r="D28" s="174"/>
      <c r="E28" s="174"/>
      <c r="F28" s="174"/>
      <c r="G28" s="174"/>
      <c r="H28" s="174"/>
      <c r="I28" s="174"/>
    </row>
    <row r="29" customFormat="false" ht="29.25" hidden="false" customHeight="true" outlineLevel="0" collapsed="false">
      <c r="B29" s="175"/>
      <c r="C29" s="175" t="s">
        <v>162</v>
      </c>
      <c r="D29" s="175" t="s">
        <v>122</v>
      </c>
      <c r="E29" s="175" t="s">
        <v>159</v>
      </c>
      <c r="F29" s="175" t="s">
        <v>123</v>
      </c>
      <c r="G29" s="176" t="s">
        <v>163</v>
      </c>
      <c r="H29" s="175" t="s">
        <v>164</v>
      </c>
      <c r="I29" s="175" t="s">
        <v>161</v>
      </c>
    </row>
    <row r="30" customFormat="false" ht="27.75" hidden="false" customHeight="true" outlineLevel="0" collapsed="false">
      <c r="B30" s="177" t="s">
        <v>165</v>
      </c>
      <c r="C30" s="177" t="s">
        <v>166</v>
      </c>
      <c r="D30" s="178" t="s">
        <v>167</v>
      </c>
      <c r="E30" s="178" t="s">
        <v>160</v>
      </c>
      <c r="F30" s="177" t="s">
        <v>168</v>
      </c>
      <c r="G30" s="179" t="n">
        <f aca="false">G14</f>
        <v>4.58</v>
      </c>
      <c r="H30" s="177" t="n">
        <v>1</v>
      </c>
      <c r="I30" s="179" t="n">
        <f aca="false">G30*H30</f>
        <v>4.58</v>
      </c>
    </row>
    <row r="31" customFormat="false" ht="27.75" hidden="false" customHeight="true" outlineLevel="0" collapsed="false">
      <c r="B31" s="177" t="s">
        <v>165</v>
      </c>
      <c r="C31" s="177" t="s">
        <v>169</v>
      </c>
      <c r="D31" s="178" t="s">
        <v>170</v>
      </c>
      <c r="E31" s="178" t="s">
        <v>160</v>
      </c>
      <c r="F31" s="177" t="s">
        <v>168</v>
      </c>
      <c r="G31" s="179" t="n">
        <f aca="false">G15</f>
        <v>1.41</v>
      </c>
      <c r="H31" s="177" t="n">
        <v>1</v>
      </c>
      <c r="I31" s="179" t="n">
        <f aca="false">G31*H31</f>
        <v>1.41</v>
      </c>
    </row>
    <row r="32" customFormat="false" ht="42" hidden="false" customHeight="true" outlineLevel="0" collapsed="false">
      <c r="B32" s="177" t="s">
        <v>165</v>
      </c>
      <c r="C32" s="177" t="s">
        <v>171</v>
      </c>
      <c r="D32" s="178" t="s">
        <v>172</v>
      </c>
      <c r="E32" s="178" t="s">
        <v>160</v>
      </c>
      <c r="F32" s="177" t="s">
        <v>168</v>
      </c>
      <c r="G32" s="179" t="n">
        <f aca="false">G16</f>
        <v>0.57</v>
      </c>
      <c r="H32" s="177" t="n">
        <v>1</v>
      </c>
      <c r="I32" s="179" t="n">
        <f aca="false">G32*H32</f>
        <v>0.57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70AD47"/>
    <pageSetUpPr fitToPage="false"/>
  </sheetPr>
  <dimension ref="B1:I32"/>
  <sheetViews>
    <sheetView showFormulas="false" showGridLines="fals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H30" activeCellId="0" sqref="H30"/>
    </sheetView>
  </sheetViews>
  <sheetFormatPr defaultColWidth="8.37890625" defaultRowHeight="14.25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3"/>
    <col collapsed="false" customWidth="true" hidden="false" outlineLevel="0" max="3" min="3" style="1" width="12.25"/>
    <col collapsed="false" customWidth="true" hidden="false" outlineLevel="0" max="4" min="4" style="1" width="60"/>
    <col collapsed="false" customWidth="true" hidden="false" outlineLevel="0" max="5" min="5" style="1" width="30"/>
    <col collapsed="false" customWidth="true" hidden="false" outlineLevel="0" max="6" min="6" style="1" width="10"/>
    <col collapsed="false" customWidth="true" hidden="false" outlineLevel="0" max="7" min="7" style="1" width="16.88"/>
    <col collapsed="false" customWidth="true" hidden="false" outlineLevel="0" max="8" min="8" style="1" width="12"/>
    <col collapsed="false" customWidth="true" hidden="false" outlineLevel="0" max="9" min="9" style="1" width="14"/>
    <col collapsed="false" customWidth="true" hidden="false" outlineLevel="0" max="1026" min="10" style="1" width="8.62"/>
  </cols>
  <sheetData>
    <row r="1" customFormat="false" ht="15" hidden="false" customHeight="true" outlineLevel="0" collapsed="false"/>
    <row r="2" customFormat="false" ht="24.75" hidden="false" customHeight="true" outlineLevel="0" collapsed="false">
      <c r="B2" s="167" t="s">
        <v>180</v>
      </c>
      <c r="C2" s="167"/>
      <c r="D2" s="167"/>
      <c r="E2" s="167"/>
      <c r="F2" s="167"/>
      <c r="G2" s="167"/>
      <c r="H2" s="167"/>
      <c r="I2" s="167"/>
    </row>
    <row r="3" customFormat="false" ht="21" hidden="false" customHeight="true" outlineLevel="0" collapsed="false"/>
    <row r="4" customFormat="false" ht="16.5" hidden="false" customHeight="true" outlineLevel="0" collapsed="false">
      <c r="B4" s="168" t="s">
        <v>151</v>
      </c>
      <c r="C4" s="168"/>
      <c r="D4" s="168"/>
      <c r="E4" s="168"/>
      <c r="F4" s="168"/>
      <c r="G4" s="168"/>
      <c r="H4" s="168"/>
      <c r="I4" s="168"/>
    </row>
    <row r="5" customFormat="false" ht="16.5" hidden="false" customHeight="true" outlineLevel="0" collapsed="false">
      <c r="B5" s="169" t="s">
        <v>152</v>
      </c>
      <c r="C5" s="169"/>
      <c r="D5" s="170" t="s">
        <v>153</v>
      </c>
      <c r="E5" s="170"/>
      <c r="F5" s="170"/>
      <c r="G5" s="170"/>
      <c r="H5" s="170"/>
      <c r="I5" s="170"/>
    </row>
    <row r="6" customFormat="false" ht="16.5" hidden="false" customHeight="true" outlineLevel="0" collapsed="false">
      <c r="B6" s="169" t="s">
        <v>122</v>
      </c>
      <c r="C6" s="169"/>
      <c r="D6" s="170" t="s">
        <v>154</v>
      </c>
      <c r="E6" s="170"/>
      <c r="F6" s="170"/>
      <c r="G6" s="170"/>
      <c r="H6" s="170"/>
      <c r="I6" s="170"/>
    </row>
    <row r="7" customFormat="false" ht="16.5" hidden="false" customHeight="true" outlineLevel="0" collapsed="false">
      <c r="B7" s="169" t="s">
        <v>155</v>
      </c>
      <c r="C7" s="169"/>
      <c r="D7" s="171" t="s">
        <v>156</v>
      </c>
      <c r="E7" s="171"/>
      <c r="F7" s="171"/>
      <c r="G7" s="171"/>
      <c r="H7" s="171"/>
      <c r="I7" s="171"/>
    </row>
    <row r="8" customFormat="false" ht="16.5" hidden="false" customHeight="true" outlineLevel="0" collapsed="false">
      <c r="B8" s="169" t="s">
        <v>157</v>
      </c>
      <c r="C8" s="169"/>
      <c r="D8" s="170" t="s">
        <v>181</v>
      </c>
      <c r="E8" s="170"/>
      <c r="F8" s="170"/>
      <c r="G8" s="170"/>
      <c r="H8" s="170"/>
      <c r="I8" s="170"/>
    </row>
    <row r="9" customFormat="false" ht="16.5" hidden="false" customHeight="true" outlineLevel="0" collapsed="false">
      <c r="B9" s="169" t="s">
        <v>159</v>
      </c>
      <c r="C9" s="169"/>
      <c r="D9" s="170" t="s">
        <v>160</v>
      </c>
      <c r="E9" s="170"/>
      <c r="F9" s="170"/>
      <c r="G9" s="170"/>
      <c r="H9" s="170"/>
      <c r="I9" s="170"/>
    </row>
    <row r="10" customFormat="false" ht="16.5" hidden="false" customHeight="true" outlineLevel="0" collapsed="false">
      <c r="B10" s="169" t="s">
        <v>123</v>
      </c>
      <c r="C10" s="169"/>
      <c r="D10" s="170" t="s">
        <v>127</v>
      </c>
      <c r="E10" s="170"/>
      <c r="F10" s="170"/>
      <c r="G10" s="170"/>
      <c r="H10" s="170"/>
      <c r="I10" s="170"/>
    </row>
    <row r="11" customFormat="false" ht="23.25" hidden="false" customHeight="true" outlineLevel="0" collapsed="false">
      <c r="B11" s="169" t="s">
        <v>161</v>
      </c>
      <c r="C11" s="169"/>
      <c r="D11" s="172" t="n">
        <f aca="false">SUM(I14:I18)</f>
        <v>54.3</v>
      </c>
      <c r="E11" s="172"/>
      <c r="F11" s="172"/>
      <c r="G11" s="172"/>
      <c r="H11" s="172"/>
      <c r="I11" s="172"/>
    </row>
    <row r="12" customFormat="false" ht="15.75" hidden="false" customHeight="true" outlineLevel="0" collapsed="false">
      <c r="B12" s="173"/>
      <c r="C12" s="173"/>
      <c r="D12" s="174"/>
      <c r="E12" s="174"/>
      <c r="F12" s="174"/>
      <c r="G12" s="174"/>
      <c r="H12" s="174"/>
      <c r="I12" s="174"/>
    </row>
    <row r="13" customFormat="false" ht="29.25" hidden="false" customHeight="true" outlineLevel="0" collapsed="false">
      <c r="B13" s="175"/>
      <c r="C13" s="175" t="s">
        <v>162</v>
      </c>
      <c r="D13" s="175" t="s">
        <v>122</v>
      </c>
      <c r="E13" s="175" t="s">
        <v>159</v>
      </c>
      <c r="F13" s="175" t="s">
        <v>123</v>
      </c>
      <c r="G13" s="176" t="s">
        <v>163</v>
      </c>
      <c r="H13" s="175" t="s">
        <v>164</v>
      </c>
      <c r="I13" s="175" t="s">
        <v>161</v>
      </c>
    </row>
    <row r="14" customFormat="false" ht="27.75" hidden="false" customHeight="true" outlineLevel="0" collapsed="false">
      <c r="B14" s="177" t="s">
        <v>165</v>
      </c>
      <c r="C14" s="177" t="s">
        <v>166</v>
      </c>
      <c r="D14" s="178" t="s">
        <v>167</v>
      </c>
      <c r="E14" s="178" t="s">
        <v>160</v>
      </c>
      <c r="F14" s="177" t="s">
        <v>168</v>
      </c>
      <c r="G14" s="179" t="n">
        <v>4.58</v>
      </c>
      <c r="H14" s="177" t="n">
        <v>1</v>
      </c>
      <c r="I14" s="179" t="n">
        <f aca="false">G14*H14</f>
        <v>4.58</v>
      </c>
    </row>
    <row r="15" customFormat="false" ht="27.75" hidden="false" customHeight="true" outlineLevel="0" collapsed="false">
      <c r="B15" s="177" t="s">
        <v>165</v>
      </c>
      <c r="C15" s="177" t="s">
        <v>169</v>
      </c>
      <c r="D15" s="178" t="s">
        <v>170</v>
      </c>
      <c r="E15" s="178" t="s">
        <v>160</v>
      </c>
      <c r="F15" s="177" t="s">
        <v>168</v>
      </c>
      <c r="G15" s="179" t="n">
        <v>1.41</v>
      </c>
      <c r="H15" s="177" t="n">
        <v>1</v>
      </c>
      <c r="I15" s="179" t="n">
        <f aca="false">G15*H15</f>
        <v>1.41</v>
      </c>
    </row>
    <row r="16" customFormat="false" ht="42" hidden="false" customHeight="true" outlineLevel="0" collapsed="false">
      <c r="B16" s="177" t="s">
        <v>165</v>
      </c>
      <c r="C16" s="177" t="s">
        <v>171</v>
      </c>
      <c r="D16" s="178" t="s">
        <v>172</v>
      </c>
      <c r="E16" s="178" t="s">
        <v>160</v>
      </c>
      <c r="F16" s="177" t="s">
        <v>168</v>
      </c>
      <c r="G16" s="179" t="n">
        <v>0.57</v>
      </c>
      <c r="H16" s="177" t="n">
        <v>1</v>
      </c>
      <c r="I16" s="179" t="n">
        <f aca="false">G16*H16</f>
        <v>0.57</v>
      </c>
    </row>
    <row r="17" customFormat="false" ht="27.75" hidden="false" customHeight="true" outlineLevel="0" collapsed="false">
      <c r="B17" s="177" t="s">
        <v>165</v>
      </c>
      <c r="C17" s="177" t="s">
        <v>173</v>
      </c>
      <c r="D17" s="178" t="s">
        <v>174</v>
      </c>
      <c r="E17" s="178" t="s">
        <v>160</v>
      </c>
      <c r="F17" s="177" t="s">
        <v>168</v>
      </c>
      <c r="G17" s="179" t="n">
        <v>5.73</v>
      </c>
      <c r="H17" s="177" t="n">
        <v>1</v>
      </c>
      <c r="I17" s="179" t="n">
        <f aca="false">G17*H17</f>
        <v>5.73</v>
      </c>
    </row>
    <row r="18" customFormat="false" ht="42" hidden="false" customHeight="true" outlineLevel="0" collapsed="false">
      <c r="B18" s="177" t="s">
        <v>165</v>
      </c>
      <c r="C18" s="177" t="s">
        <v>175</v>
      </c>
      <c r="D18" s="178" t="s">
        <v>176</v>
      </c>
      <c r="E18" s="178" t="s">
        <v>160</v>
      </c>
      <c r="F18" s="177" t="s">
        <v>168</v>
      </c>
      <c r="G18" s="179" t="n">
        <v>42.01</v>
      </c>
      <c r="H18" s="177" t="n">
        <v>1</v>
      </c>
      <c r="I18" s="179" t="n">
        <f aca="false">G18*H18</f>
        <v>42.01</v>
      </c>
    </row>
    <row r="19" customFormat="false" ht="27.75" hidden="false" customHeight="true" outlineLevel="0" collapsed="false"/>
    <row r="20" customFormat="false" ht="16.5" hidden="false" customHeight="true" outlineLevel="0" collapsed="false">
      <c r="B20" s="167" t="s">
        <v>177</v>
      </c>
      <c r="C20" s="167"/>
      <c r="D20" s="167"/>
      <c r="E20" s="167"/>
      <c r="F20" s="167"/>
      <c r="G20" s="167"/>
      <c r="H20" s="167"/>
      <c r="I20" s="167"/>
    </row>
    <row r="21" customFormat="false" ht="16.5" hidden="false" customHeight="true" outlineLevel="0" collapsed="false">
      <c r="B21" s="169" t="s">
        <v>152</v>
      </c>
      <c r="C21" s="169"/>
      <c r="D21" s="170" t="s">
        <v>178</v>
      </c>
      <c r="E21" s="170"/>
      <c r="F21" s="170"/>
      <c r="G21" s="170"/>
      <c r="H21" s="170"/>
      <c r="I21" s="170"/>
    </row>
    <row r="22" customFormat="false" ht="16.5" hidden="false" customHeight="true" outlineLevel="0" collapsed="false">
      <c r="B22" s="169" t="s">
        <v>122</v>
      </c>
      <c r="C22" s="169"/>
      <c r="D22" s="170" t="s">
        <v>179</v>
      </c>
      <c r="E22" s="170"/>
      <c r="F22" s="170"/>
      <c r="G22" s="170"/>
      <c r="H22" s="170"/>
      <c r="I22" s="170"/>
    </row>
    <row r="23" customFormat="false" ht="16.5" hidden="false" customHeight="true" outlineLevel="0" collapsed="false">
      <c r="B23" s="169" t="s">
        <v>155</v>
      </c>
      <c r="C23" s="169"/>
      <c r="D23" s="171" t="s">
        <v>156</v>
      </c>
      <c r="E23" s="171"/>
      <c r="F23" s="171"/>
      <c r="G23" s="171"/>
      <c r="H23" s="171"/>
      <c r="I23" s="171"/>
    </row>
    <row r="24" customFormat="false" ht="16.5" hidden="false" customHeight="true" outlineLevel="0" collapsed="false">
      <c r="B24" s="169" t="s">
        <v>157</v>
      </c>
      <c r="C24" s="169"/>
      <c r="D24" s="170" t="s">
        <v>181</v>
      </c>
      <c r="E24" s="170"/>
      <c r="F24" s="170"/>
      <c r="G24" s="170"/>
      <c r="H24" s="170"/>
      <c r="I24" s="170"/>
    </row>
    <row r="25" customFormat="false" ht="16.5" hidden="false" customHeight="true" outlineLevel="0" collapsed="false">
      <c r="B25" s="169" t="s">
        <v>159</v>
      </c>
      <c r="C25" s="169"/>
      <c r="D25" s="170" t="s">
        <v>160</v>
      </c>
      <c r="E25" s="170"/>
      <c r="F25" s="170"/>
      <c r="G25" s="170"/>
      <c r="H25" s="170"/>
      <c r="I25" s="170"/>
    </row>
    <row r="26" customFormat="false" ht="16.5" hidden="false" customHeight="true" outlineLevel="0" collapsed="false">
      <c r="B26" s="169" t="s">
        <v>123</v>
      </c>
      <c r="C26" s="169"/>
      <c r="D26" s="170" t="s">
        <v>129</v>
      </c>
      <c r="E26" s="170"/>
      <c r="F26" s="170"/>
      <c r="G26" s="170"/>
      <c r="H26" s="170"/>
      <c r="I26" s="170"/>
    </row>
    <row r="27" customFormat="false" ht="23.25" hidden="false" customHeight="true" outlineLevel="0" collapsed="false">
      <c r="B27" s="169" t="s">
        <v>161</v>
      </c>
      <c r="C27" s="169"/>
      <c r="D27" s="180" t="n">
        <f aca="false">SUM(I30:I32)</f>
        <v>6.56</v>
      </c>
      <c r="E27" s="180"/>
      <c r="F27" s="180"/>
      <c r="G27" s="180"/>
      <c r="H27" s="180"/>
      <c r="I27" s="180"/>
    </row>
    <row r="28" customFormat="false" ht="15.75" hidden="false" customHeight="true" outlineLevel="0" collapsed="false">
      <c r="B28" s="173"/>
      <c r="C28" s="173"/>
      <c r="D28" s="174"/>
      <c r="E28" s="174"/>
      <c r="F28" s="174"/>
      <c r="G28" s="174"/>
      <c r="H28" s="174"/>
      <c r="I28" s="174"/>
    </row>
    <row r="29" customFormat="false" ht="29.25" hidden="false" customHeight="true" outlineLevel="0" collapsed="false">
      <c r="B29" s="175"/>
      <c r="C29" s="175" t="s">
        <v>162</v>
      </c>
      <c r="D29" s="175" t="s">
        <v>122</v>
      </c>
      <c r="E29" s="175" t="s">
        <v>159</v>
      </c>
      <c r="F29" s="175" t="s">
        <v>123</v>
      </c>
      <c r="G29" s="176" t="s">
        <v>163</v>
      </c>
      <c r="H29" s="175" t="s">
        <v>164</v>
      </c>
      <c r="I29" s="175" t="s">
        <v>161</v>
      </c>
    </row>
    <row r="30" customFormat="false" ht="27.75" hidden="false" customHeight="true" outlineLevel="0" collapsed="false">
      <c r="B30" s="177" t="s">
        <v>165</v>
      </c>
      <c r="C30" s="177" t="s">
        <v>166</v>
      </c>
      <c r="D30" s="178" t="s">
        <v>167</v>
      </c>
      <c r="E30" s="178" t="s">
        <v>160</v>
      </c>
      <c r="F30" s="177" t="s">
        <v>168</v>
      </c>
      <c r="G30" s="179" t="n">
        <f aca="false">G14</f>
        <v>4.58</v>
      </c>
      <c r="H30" s="177" t="n">
        <v>1</v>
      </c>
      <c r="I30" s="179" t="n">
        <f aca="false">G30*H30</f>
        <v>4.58</v>
      </c>
    </row>
    <row r="31" customFormat="false" ht="27.75" hidden="false" customHeight="true" outlineLevel="0" collapsed="false">
      <c r="B31" s="177" t="s">
        <v>165</v>
      </c>
      <c r="C31" s="177" t="s">
        <v>169</v>
      </c>
      <c r="D31" s="178" t="s">
        <v>170</v>
      </c>
      <c r="E31" s="178" t="s">
        <v>160</v>
      </c>
      <c r="F31" s="177" t="s">
        <v>168</v>
      </c>
      <c r="G31" s="179" t="n">
        <f aca="false">G15</f>
        <v>1.41</v>
      </c>
      <c r="H31" s="177" t="n">
        <v>1</v>
      </c>
      <c r="I31" s="179" t="n">
        <f aca="false">G31*H31</f>
        <v>1.41</v>
      </c>
    </row>
    <row r="32" customFormat="false" ht="42" hidden="false" customHeight="true" outlineLevel="0" collapsed="false">
      <c r="B32" s="177" t="s">
        <v>165</v>
      </c>
      <c r="C32" s="177" t="s">
        <v>171</v>
      </c>
      <c r="D32" s="178" t="s">
        <v>172</v>
      </c>
      <c r="E32" s="178" t="s">
        <v>160</v>
      </c>
      <c r="F32" s="177" t="s">
        <v>168</v>
      </c>
      <c r="G32" s="179" t="n">
        <f aca="false">G16</f>
        <v>0.57</v>
      </c>
      <c r="H32" s="177" t="n">
        <v>1</v>
      </c>
      <c r="I32" s="179" t="n">
        <f aca="false">G32*H32</f>
        <v>0.57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25:I25"/>
    <mergeCell ref="B26:C26"/>
    <mergeCell ref="D26:I26"/>
    <mergeCell ref="B27:C27"/>
    <mergeCell ref="D27:I27"/>
  </mergeCells>
  <printOptions headings="false" gridLines="false" gridLinesSet="true" horizontalCentered="true" verticalCentered="false"/>
  <pageMargins left="0.177083333333333" right="0.134027777777778" top="0.374305555555556" bottom="0.3201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41F0A25-9156-48F3-AB37-BA7BB03348E5}"/>
</file>

<file path=customXml/itemProps2.xml><?xml version="1.0" encoding="utf-8"?>
<ds:datastoreItem xmlns:ds="http://schemas.openxmlformats.org/officeDocument/2006/customXml" ds:itemID="{C8C47D15-DE9E-46D0-AD8E-326A1AB4DAFE}"/>
</file>

<file path=customXml/itemProps3.xml><?xml version="1.0" encoding="utf-8"?>
<ds:datastoreItem xmlns:ds="http://schemas.openxmlformats.org/officeDocument/2006/customXml" ds:itemID="{10744F86-7099-4F71-AF76-35FAF074BC91}"/>
</file>

<file path=customXml/itemProps4.xml><?xml version="1.0" encoding="utf-8"?>
<ds:datastoreItem xmlns:ds="http://schemas.openxmlformats.org/officeDocument/2006/customXml" ds:itemID="{7FAAA2CC-E61F-4275-9099-703D6D975335}"/>
</file>

<file path=customXml/itemProps5.xml><?xml version="1.0" encoding="utf-8"?>
<ds:datastoreItem xmlns:ds="http://schemas.openxmlformats.org/officeDocument/2006/customXml" ds:itemID="{AB4E2399-379C-4D6D-9576-CA2E78AF4762}"/>
</file>

<file path=customXml/itemProps6.xml><?xml version="1.0" encoding="utf-8"?>
<ds:datastoreItem xmlns:ds="http://schemas.openxmlformats.org/officeDocument/2006/customXml" ds:itemID="{B338C2DA-7DE1-4614-B77D-847BCED829A0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dc:description/>
  <cp:lastModifiedBy/>
  <cp:revision>48</cp:revision>
  <dcterms:created xsi:type="dcterms:W3CDTF">2022-02-01T12:05:24Z</dcterms:created>
  <dcterms:modified xsi:type="dcterms:W3CDTF">2025-04-04T09:42:04Z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